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codeName="{DD97A8EA-9A9A-E61F-A557-7D5A7D7259CE}"/>
  <workbookPr codeName="ThisWorkbook" defaultThemeVersion="166925"/>
  <mc:AlternateContent xmlns:mc="http://schemas.openxmlformats.org/markup-compatibility/2006">
    <mc:Choice Requires="x15">
      <x15ac:absPath xmlns:x15ac="http://schemas.microsoft.com/office/spreadsheetml/2010/11/ac" url="C:\Users\JoshuaHardesty\Downloads\"/>
    </mc:Choice>
  </mc:AlternateContent>
  <xr:revisionPtr revIDLastSave="0" documentId="13_ncr:1_{FDF3F7E0-DFF6-4336-86D7-2C51593B58C9}" xr6:coauthVersionLast="47" xr6:coauthVersionMax="47" xr10:uidLastSave="{00000000-0000-0000-0000-000000000000}"/>
  <workbookProtection workbookAlgorithmName="SHA-512" workbookHashValue="Vw1/o8FO0lmcGiE9z9PE2MdTaTXH/2KsDKdM1PzbwfS4RZnws0fmHmLP2eW5/XT7tHH4DHdgOTt0pmZn4mqslw==" workbookSaltValue="mSJbzrH7TJ8yhsvYSjidKQ==" workbookSpinCount="100000" lockStructure="1"/>
  <bookViews>
    <workbookView xWindow="-96" yWindow="-96" windowWidth="23232" windowHeight="13872" xr2:uid="{5EB79971-6CE4-434E-87B7-BD152F06B7F4}"/>
  </bookViews>
  <sheets>
    <sheet name="Disclaimer" sheetId="2" r:id="rId1"/>
    <sheet name="Tool" sheetId="1" r:id="rId2"/>
    <sheet name="Data" sheetId="3" state="hidden" r:id="rId3"/>
  </sheets>
  <functionGroups builtInGroupCount="19"/>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6" i="1" l="1"/>
  <c r="E166" i="1"/>
  <c r="D166" i="1"/>
  <c r="C166" i="1"/>
  <c r="F165" i="1"/>
  <c r="E165" i="1"/>
  <c r="D165" i="1"/>
  <c r="C165" i="1"/>
  <c r="F164" i="1"/>
  <c r="E164" i="1"/>
  <c r="D164" i="1"/>
  <c r="C164" i="1"/>
  <c r="F163" i="1"/>
  <c r="E163" i="1"/>
  <c r="D163" i="1"/>
  <c r="C163" i="1"/>
  <c r="F162" i="1"/>
  <c r="E162" i="1"/>
  <c r="D162" i="1"/>
  <c r="C162" i="1"/>
  <c r="F161" i="1"/>
  <c r="E161" i="1"/>
  <c r="D161" i="1"/>
  <c r="C161" i="1"/>
  <c r="F27" i="1"/>
  <c r="E27" i="1"/>
  <c r="D27" i="1"/>
  <c r="C27" i="1"/>
  <c r="F26" i="1"/>
  <c r="E26" i="1"/>
  <c r="D26" i="1"/>
  <c r="C26" i="1"/>
  <c r="F25" i="1"/>
  <c r="E25" i="1"/>
  <c r="D25" i="1"/>
  <c r="C25" i="1"/>
  <c r="F24" i="1"/>
  <c r="E24" i="1"/>
  <c r="D24" i="1"/>
  <c r="C24" i="1"/>
  <c r="F23" i="1"/>
  <c r="E23" i="1"/>
  <c r="D23" i="1"/>
  <c r="C23" i="1"/>
  <c r="F22" i="1"/>
  <c r="E22" i="1"/>
  <c r="D22" i="1"/>
  <c r="C22" i="1"/>
  <c r="F21" i="1"/>
  <c r="E21" i="1"/>
  <c r="D21" i="1"/>
  <c r="C21" i="1"/>
  <c r="F20" i="1"/>
  <c r="E20" i="1"/>
  <c r="D20" i="1"/>
  <c r="C20" i="1"/>
  <c r="C28" i="1" s="1"/>
  <c r="F19" i="1"/>
  <c r="E19" i="1"/>
  <c r="D19" i="1"/>
  <c r="C19" i="1"/>
  <c r="B112" i="1"/>
  <c r="G112" i="1" s="1"/>
  <c r="O9" i="1"/>
  <c r="AJ139" i="1" l="1"/>
  <c r="E29" i="1" l="1"/>
  <c r="C29" i="1" l="1"/>
  <c r="M149" i="1" l="1"/>
  <c r="M153" i="1"/>
  <c r="G154" i="1"/>
  <c r="G155" i="1" s="1"/>
  <c r="H154" i="1"/>
  <c r="H155" i="1" s="1"/>
  <c r="I154" i="1"/>
  <c r="I155" i="1" s="1"/>
  <c r="J154" i="1"/>
  <c r="J155" i="1" s="1"/>
  <c r="C35" i="1" l="1"/>
  <c r="O8" i="1"/>
  <c r="P6" i="1"/>
  <c r="C36" i="1" l="1" a="1"/>
  <c r="C36" i="1" s="1"/>
  <c r="C38" i="1" s="1"/>
  <c r="C37" i="1"/>
  <c r="F30" i="1" l="1"/>
  <c r="E30" i="1"/>
  <c r="D30" i="1"/>
  <c r="C30" i="1"/>
  <c r="S6" i="1"/>
  <c r="S1" i="1"/>
  <c r="F150" i="1" l="1"/>
  <c r="F157" i="1"/>
  <c r="F151" i="1"/>
  <c r="F158" i="1"/>
  <c r="F154" i="1"/>
  <c r="E150" i="1"/>
  <c r="E151" i="1"/>
  <c r="E154" i="1"/>
  <c r="E157" i="1"/>
  <c r="E158" i="1"/>
  <c r="C150" i="1"/>
  <c r="H158" i="1"/>
  <c r="H157" i="1"/>
  <c r="J151" i="1"/>
  <c r="C158" i="1"/>
  <c r="C151" i="1"/>
  <c r="G158" i="1"/>
  <c r="H151" i="1"/>
  <c r="I157" i="1"/>
  <c r="G151" i="1"/>
  <c r="G157" i="1"/>
  <c r="I158" i="1"/>
  <c r="I151" i="1"/>
  <c r="J157" i="1"/>
  <c r="C157" i="1"/>
  <c r="G150" i="1"/>
  <c r="C154" i="1"/>
  <c r="H150" i="1"/>
  <c r="J158" i="1"/>
  <c r="I150" i="1"/>
  <c r="J150" i="1"/>
  <c r="D151" i="1"/>
  <c r="D158" i="1"/>
  <c r="D150" i="1"/>
  <c r="D154" i="1"/>
  <c r="D157" i="1"/>
  <c r="D29" i="1"/>
  <c r="F29" i="1"/>
  <c r="D28" i="1"/>
  <c r="E28" i="1"/>
  <c r="F28" i="1"/>
  <c r="P5" i="1"/>
  <c r="S5" i="1"/>
  <c r="S7" i="1" s="1"/>
  <c r="R5" i="1"/>
  <c r="Q5" i="1"/>
  <c r="T7" i="3"/>
  <c r="R7" i="3"/>
  <c r="T6" i="3"/>
  <c r="R6" i="3"/>
  <c r="T5" i="3"/>
  <c r="R5" i="3"/>
  <c r="T4" i="3"/>
  <c r="R4" i="3"/>
  <c r="T3" i="3"/>
  <c r="R3" i="3"/>
  <c r="Q6" i="1"/>
  <c r="R6" i="1"/>
  <c r="X5" i="1"/>
  <c r="Y5" i="1"/>
  <c r="X6" i="1"/>
  <c r="Z6" i="1"/>
  <c r="P7" i="1" l="1"/>
  <c r="Y141" i="1" l="1"/>
  <c r="X141" i="1"/>
  <c r="W141" i="1"/>
  <c r="V141" i="1"/>
  <c r="U141" i="1"/>
  <c r="T141" i="1"/>
  <c r="S141" i="1"/>
  <c r="R141" i="1"/>
  <c r="Q141" i="1"/>
  <c r="J139" i="1"/>
  <c r="I139" i="1"/>
  <c r="H139" i="1"/>
  <c r="G139" i="1"/>
  <c r="J138" i="1"/>
  <c r="I138" i="1"/>
  <c r="H138" i="1"/>
  <c r="G138" i="1"/>
  <c r="Z135" i="1"/>
  <c r="Z140" i="1" s="1"/>
  <c r="J130" i="1"/>
  <c r="I130" i="1"/>
  <c r="H130" i="1"/>
  <c r="G130" i="1"/>
  <c r="J129" i="1"/>
  <c r="I129" i="1"/>
  <c r="H129" i="1"/>
  <c r="G129" i="1"/>
  <c r="J128" i="1"/>
  <c r="I128" i="1"/>
  <c r="H128" i="1"/>
  <c r="G128" i="1"/>
  <c r="Z120" i="1"/>
  <c r="Z137" i="1" s="1"/>
  <c r="J118" i="1"/>
  <c r="I118" i="1"/>
  <c r="H118" i="1"/>
  <c r="G118" i="1"/>
  <c r="F118" i="1"/>
  <c r="E118" i="1"/>
  <c r="D118" i="1"/>
  <c r="C118" i="1"/>
  <c r="J116" i="1"/>
  <c r="I116" i="1"/>
  <c r="H116" i="1"/>
  <c r="G116" i="1"/>
  <c r="F116" i="1"/>
  <c r="E116" i="1"/>
  <c r="D116" i="1"/>
  <c r="C116" i="1"/>
  <c r="J109" i="1"/>
  <c r="I109" i="1"/>
  <c r="H109" i="1"/>
  <c r="G109" i="1"/>
  <c r="O102" i="1"/>
  <c r="O65" i="1"/>
  <c r="O64" i="1"/>
  <c r="N62" i="1"/>
  <c r="L63" i="1" s="1"/>
  <c r="O46" i="1"/>
  <c r="C70" i="1" s="1"/>
  <c r="O45" i="1"/>
  <c r="C69" i="1" s="1"/>
  <c r="C155" i="1" s="1"/>
  <c r="O43" i="1"/>
  <c r="Z42" i="1"/>
  <c r="X42" i="1"/>
  <c r="W42" i="1"/>
  <c r="V42" i="1"/>
  <c r="U42" i="1"/>
  <c r="T42" i="1"/>
  <c r="S42" i="1"/>
  <c r="R42" i="1"/>
  <c r="Q42" i="1"/>
  <c r="P42" i="1"/>
  <c r="I42" i="1"/>
  <c r="I43" i="1" s="1"/>
  <c r="Y40" i="1"/>
  <c r="O40" i="1"/>
  <c r="O39" i="1"/>
  <c r="J35" i="1"/>
  <c r="J42" i="1" s="1"/>
  <c r="J43" i="1" s="1"/>
  <c r="I35" i="1"/>
  <c r="H35" i="1"/>
  <c r="G35" i="1"/>
  <c r="G42" i="1" s="1"/>
  <c r="G43" i="1" s="1"/>
  <c r="F35" i="1"/>
  <c r="F36" i="1" s="1" a="1"/>
  <c r="F36" i="1" s="1"/>
  <c r="E35" i="1"/>
  <c r="E36" i="1" s="1" a="1"/>
  <c r="E36" i="1" s="1"/>
  <c r="D35" i="1"/>
  <c r="J34" i="1"/>
  <c r="I34" i="1"/>
  <c r="H34" i="1"/>
  <c r="G34" i="1"/>
  <c r="F34" i="1"/>
  <c r="E34" i="1"/>
  <c r="D34" i="1"/>
  <c r="C34" i="1"/>
  <c r="Z33" i="1"/>
  <c r="Z34" i="1" s="1"/>
  <c r="Y33" i="1"/>
  <c r="Y34" i="1" s="1"/>
  <c r="X33" i="1"/>
  <c r="X34" i="1" s="1"/>
  <c r="W33" i="1"/>
  <c r="W34" i="1" s="1"/>
  <c r="V33" i="1"/>
  <c r="V34" i="1" s="1"/>
  <c r="U33" i="1"/>
  <c r="T33" i="1"/>
  <c r="T34" i="1" s="1"/>
  <c r="S33" i="1"/>
  <c r="S34" i="1" s="1"/>
  <c r="R33" i="1"/>
  <c r="R34" i="1" s="1"/>
  <c r="Q33" i="1"/>
  <c r="Q34" i="1" s="1"/>
  <c r="P33" i="1"/>
  <c r="P34" i="1" s="1"/>
  <c r="O31" i="1"/>
  <c r="J31" i="1"/>
  <c r="I31" i="1"/>
  <c r="H31" i="1"/>
  <c r="G31" i="1"/>
  <c r="O30" i="1"/>
  <c r="AD26" i="1"/>
  <c r="O16" i="1"/>
  <c r="AC25" i="1"/>
  <c r="X28" i="1"/>
  <c r="W28" i="1"/>
  <c r="V28" i="1"/>
  <c r="U28" i="1"/>
  <c r="T28" i="1"/>
  <c r="S28" i="1"/>
  <c r="R28" i="1"/>
  <c r="Q28" i="1"/>
  <c r="P28" i="1"/>
  <c r="AC24" i="1"/>
  <c r="AC23" i="1"/>
  <c r="Z29" i="1"/>
  <c r="Y29" i="1"/>
  <c r="O29" i="1"/>
  <c r="O12" i="1"/>
  <c r="AG11" i="1"/>
  <c r="O11" i="1"/>
  <c r="C117" i="1" s="1"/>
  <c r="AG10" i="1"/>
  <c r="O10" i="1"/>
  <c r="E10" i="1"/>
  <c r="Y12" i="1" s="1"/>
  <c r="Y6" i="1" s="1"/>
  <c r="Z7" i="1"/>
  <c r="Q7" i="1"/>
  <c r="X7" i="1"/>
  <c r="W6" i="1"/>
  <c r="V6" i="1"/>
  <c r="U6" i="1"/>
  <c r="T6" i="1"/>
  <c r="R7" i="1"/>
  <c r="D6" i="1"/>
  <c r="W5" i="1"/>
  <c r="V5" i="1"/>
  <c r="U5" i="1"/>
  <c r="T5" i="1"/>
  <c r="H5" i="1"/>
  <c r="D5" i="1"/>
  <c r="D4" i="1"/>
  <c r="O3" i="1"/>
  <c r="H3" i="1"/>
  <c r="D37" i="1" l="1"/>
  <c r="D36" i="1" a="1"/>
  <c r="D36" i="1" s="1"/>
  <c r="D38" i="1" s="1"/>
  <c r="F38" i="1"/>
  <c r="F37" i="1"/>
  <c r="E38" i="1"/>
  <c r="E37" i="1"/>
  <c r="D42" i="1"/>
  <c r="D43" i="1" s="1"/>
  <c r="D41" i="1" s="1"/>
  <c r="C109" i="1"/>
  <c r="E109" i="1"/>
  <c r="H42" i="1"/>
  <c r="H43" i="1" s="1"/>
  <c r="H41" i="1" s="1"/>
  <c r="H115" i="1" s="1"/>
  <c r="G153" i="1"/>
  <c r="I153" i="1"/>
  <c r="D69" i="1"/>
  <c r="D155" i="1" s="1"/>
  <c r="J153" i="1"/>
  <c r="F69" i="1"/>
  <c r="F155" i="1" s="1"/>
  <c r="E69" i="1"/>
  <c r="E155" i="1" s="1"/>
  <c r="F42" i="1"/>
  <c r="F43" i="1" s="1"/>
  <c r="F41" i="1" s="1"/>
  <c r="T7" i="1"/>
  <c r="D70" i="1"/>
  <c r="E42" i="1"/>
  <c r="E43" i="1" s="1"/>
  <c r="E41" i="1" s="1"/>
  <c r="E115" i="1" s="1"/>
  <c r="F70" i="1"/>
  <c r="O42" i="1"/>
  <c r="O28" i="1"/>
  <c r="D109" i="1"/>
  <c r="O101" i="1"/>
  <c r="Z122" i="1"/>
  <c r="Z123" i="1" s="1"/>
  <c r="C42" i="1"/>
  <c r="C153" i="1" s="1"/>
  <c r="U7" i="1"/>
  <c r="G110" i="1"/>
  <c r="V7" i="1"/>
  <c r="AC26" i="1"/>
  <c r="D31" i="1" s="1"/>
  <c r="G40" i="1"/>
  <c r="I110" i="1"/>
  <c r="J110" i="1"/>
  <c r="G39" i="1"/>
  <c r="G106" i="1" s="1"/>
  <c r="I47" i="1"/>
  <c r="I48" i="1" s="1"/>
  <c r="I49" i="1" s="1"/>
  <c r="W7" i="1"/>
  <c r="K1" i="1"/>
  <c r="Y7" i="1"/>
  <c r="E70" i="1"/>
  <c r="Z3" i="1" a="1"/>
  <c r="Z3" i="1" s="1"/>
  <c r="Z5" i="1" s="1"/>
  <c r="M5" i="1"/>
  <c r="F47" i="1"/>
  <c r="H112" i="1"/>
  <c r="U34" i="1"/>
  <c r="O34" i="1" s="1"/>
  <c r="O33" i="1"/>
  <c r="I39" i="1"/>
  <c r="I106" i="1" s="1"/>
  <c r="I41" i="1"/>
  <c r="I40" i="1"/>
  <c r="Z133" i="1"/>
  <c r="Z141" i="1"/>
  <c r="G117" i="1"/>
  <c r="F117" i="1"/>
  <c r="E117" i="1"/>
  <c r="D117" i="1"/>
  <c r="J117" i="1"/>
  <c r="I117" i="1"/>
  <c r="AA3" i="1" a="1"/>
  <c r="AA3" i="1" s="1"/>
  <c r="H110" i="1"/>
  <c r="H39" i="1"/>
  <c r="H117" i="1"/>
  <c r="Y42" i="1"/>
  <c r="G47" i="1"/>
  <c r="G48" i="1" s="1"/>
  <c r="G49" i="1" s="1"/>
  <c r="I112" i="1"/>
  <c r="J40" i="1"/>
  <c r="G41" i="1"/>
  <c r="H47" i="1"/>
  <c r="F109" i="1"/>
  <c r="J112" i="1"/>
  <c r="J47" i="1"/>
  <c r="J48" i="1" s="1"/>
  <c r="J49" i="1" s="1"/>
  <c r="K35" i="1"/>
  <c r="L35" i="1" s="1"/>
  <c r="E50" i="1" s="1"/>
  <c r="J41" i="1"/>
  <c r="C47" i="1"/>
  <c r="J39" i="1"/>
  <c r="J106" i="1" s="1"/>
  <c r="D47" i="1"/>
  <c r="E47" i="1"/>
  <c r="O7" i="1" l="1"/>
  <c r="D40" i="1"/>
  <c r="D153" i="1"/>
  <c r="H40" i="1"/>
  <c r="H45" i="1" s="1"/>
  <c r="H48" i="1"/>
  <c r="H49" i="1" s="1"/>
  <c r="D48" i="1"/>
  <c r="D49" i="1" s="1"/>
  <c r="H153" i="1"/>
  <c r="G147" i="1"/>
  <c r="G149" i="1"/>
  <c r="F153" i="1"/>
  <c r="I149" i="1"/>
  <c r="I147" i="1"/>
  <c r="J149" i="1"/>
  <c r="J147" i="1"/>
  <c r="F40" i="1"/>
  <c r="F48" i="1"/>
  <c r="F49" i="1" s="1"/>
  <c r="E153" i="1"/>
  <c r="E48" i="1"/>
  <c r="E49" i="1" s="1"/>
  <c r="E56" i="1" s="1"/>
  <c r="E40" i="1"/>
  <c r="F31" i="1"/>
  <c r="F39" i="1" s="1"/>
  <c r="C31" i="1"/>
  <c r="C39" i="1" s="1"/>
  <c r="E31" i="1"/>
  <c r="G108" i="1"/>
  <c r="J108" i="1"/>
  <c r="C40" i="1"/>
  <c r="C43" i="1"/>
  <c r="C48" i="1"/>
  <c r="I108" i="1"/>
  <c r="E51" i="1"/>
  <c r="H50" i="1"/>
  <c r="G50" i="1"/>
  <c r="K70" i="1" a="1"/>
  <c r="K70" i="1" s="1"/>
  <c r="K69" i="1" a="1"/>
  <c r="K69" i="1" s="1"/>
  <c r="J115" i="1"/>
  <c r="J45" i="1"/>
  <c r="F115" i="1"/>
  <c r="G115" i="1"/>
  <c r="G45" i="1"/>
  <c r="D110" i="1"/>
  <c r="D39" i="1"/>
  <c r="D50" i="1"/>
  <c r="F50" i="1"/>
  <c r="I115" i="1"/>
  <c r="I45" i="1"/>
  <c r="C50" i="1"/>
  <c r="C51" i="1" s="1"/>
  <c r="H106" i="1"/>
  <c r="H108" i="1" s="1"/>
  <c r="I50" i="1"/>
  <c r="D115" i="1"/>
  <c r="J50" i="1"/>
  <c r="F45" i="1" l="1"/>
  <c r="D147" i="1"/>
  <c r="D45" i="1"/>
  <c r="C41" i="1"/>
  <c r="C115" i="1" s="1"/>
  <c r="C49" i="1"/>
  <c r="C56" i="1" s="1"/>
  <c r="H147" i="1"/>
  <c r="D149" i="1"/>
  <c r="H149" i="1"/>
  <c r="F147" i="1"/>
  <c r="F149" i="1"/>
  <c r="C149" i="1"/>
  <c r="C147" i="1"/>
  <c r="E45" i="1"/>
  <c r="E147" i="1"/>
  <c r="E149" i="1"/>
  <c r="F110" i="1"/>
  <c r="C110" i="1"/>
  <c r="E39" i="1"/>
  <c r="K39" i="1" s="1"/>
  <c r="L39" i="1" s="1"/>
  <c r="E110" i="1"/>
  <c r="K40" i="1"/>
  <c r="F56" i="1"/>
  <c r="F51" i="1"/>
  <c r="D56" i="1"/>
  <c r="D51" i="1"/>
  <c r="G56" i="1"/>
  <c r="G51" i="1"/>
  <c r="I56" i="1"/>
  <c r="I51" i="1"/>
  <c r="H51" i="1"/>
  <c r="H56" i="1"/>
  <c r="K50" i="1"/>
  <c r="E52" i="1"/>
  <c r="E53" i="1" s="1"/>
  <c r="J56" i="1"/>
  <c r="J51" i="1"/>
  <c r="E55" i="1"/>
  <c r="E57" i="1" s="1"/>
  <c r="C45" i="1" l="1"/>
  <c r="H97" i="1"/>
  <c r="L1" i="1"/>
  <c r="G97" i="1"/>
  <c r="F97" i="1"/>
  <c r="E97" i="1"/>
  <c r="C97" i="1"/>
  <c r="J97" i="1"/>
  <c r="M39" i="1"/>
  <c r="D97" i="1"/>
  <c r="I97" i="1"/>
  <c r="D52" i="1"/>
  <c r="I52" i="1"/>
  <c r="I53" i="1" s="1"/>
  <c r="I55" i="1"/>
  <c r="I57" i="1" s="1"/>
  <c r="J52" i="1"/>
  <c r="J55" i="1"/>
  <c r="J57" i="1" s="1"/>
  <c r="D55" i="1"/>
  <c r="D57" i="1" s="1"/>
  <c r="K56" i="1"/>
  <c r="L56" i="1" s="1"/>
  <c r="C55" i="1"/>
  <c r="G55" i="1"/>
  <c r="G57" i="1" s="1"/>
  <c r="H55" i="1"/>
  <c r="H57" i="1" s="1"/>
  <c r="F52" i="1"/>
  <c r="C52" i="1"/>
  <c r="C53" i="1" s="1"/>
  <c r="G52" i="1"/>
  <c r="E58" i="1"/>
  <c r="H52" i="1"/>
  <c r="F55" i="1"/>
  <c r="F57" i="1" s="1"/>
  <c r="C57" i="1" l="1"/>
  <c r="N56" i="1"/>
  <c r="F58" i="1"/>
  <c r="H58" i="1"/>
  <c r="D58" i="1"/>
  <c r="J58" i="1"/>
  <c r="K97" i="1"/>
  <c r="H53" i="1"/>
  <c r="C58" i="1"/>
  <c r="F53" i="1"/>
  <c r="G58" i="1"/>
  <c r="N57" i="1"/>
  <c r="J53" i="1"/>
  <c r="G53" i="1"/>
  <c r="I58" i="1"/>
  <c r="L57" i="1"/>
  <c r="D53" i="1"/>
  <c r="N58" i="1" l="1"/>
  <c r="L58" i="1" s="1"/>
  <c r="C61" i="1" s="1"/>
  <c r="C62" i="1" s="1"/>
  <c r="E61" i="1" l="1"/>
  <c r="J61" i="1"/>
  <c r="H61" i="1"/>
  <c r="F61" i="1"/>
  <c r="D61" i="1"/>
  <c r="I61" i="1"/>
  <c r="G61" i="1"/>
  <c r="K61" i="1" l="1"/>
  <c r="C60" i="1"/>
  <c r="H62" i="1"/>
  <c r="H60" i="1"/>
  <c r="G62" i="1"/>
  <c r="G60" i="1"/>
  <c r="F62" i="1"/>
  <c r="F60" i="1"/>
  <c r="J60" i="1"/>
  <c r="J62" i="1"/>
  <c r="I62" i="1"/>
  <c r="I60" i="1"/>
  <c r="D60" i="1"/>
  <c r="D62" i="1"/>
  <c r="E60" i="1"/>
  <c r="E62" i="1"/>
  <c r="G63" i="1" l="1"/>
  <c r="J63" i="1"/>
  <c r="J64" i="1" s="1"/>
  <c r="J66" i="1" s="1"/>
  <c r="J156" i="1" s="1"/>
  <c r="F63" i="1"/>
  <c r="F64" i="1" s="1"/>
  <c r="F66" i="1" s="1"/>
  <c r="F156" i="1" s="1"/>
  <c r="H63" i="1"/>
  <c r="H64" i="1" s="1"/>
  <c r="H66" i="1" s="1"/>
  <c r="D63" i="1"/>
  <c r="C63" i="1"/>
  <c r="C64" i="1" s="1"/>
  <c r="E63" i="1"/>
  <c r="E64" i="1" s="1"/>
  <c r="E66" i="1" s="1"/>
  <c r="E156" i="1" s="1"/>
  <c r="I63" i="1"/>
  <c r="O61" i="1"/>
  <c r="L61" i="1"/>
  <c r="H107" i="1" l="1"/>
  <c r="H156" i="1"/>
  <c r="J103" i="1"/>
  <c r="J107" i="1"/>
  <c r="F103" i="1"/>
  <c r="F107" i="1"/>
  <c r="C66" i="1"/>
  <c r="H103" i="1"/>
  <c r="E103" i="1"/>
  <c r="E107" i="1"/>
  <c r="D64" i="1"/>
  <c r="D66" i="1" s="1"/>
  <c r="D156" i="1" s="1"/>
  <c r="H111" i="1"/>
  <c r="G64" i="1"/>
  <c r="G66" i="1" s="1"/>
  <c r="J111" i="1"/>
  <c r="I64" i="1"/>
  <c r="I66" i="1" s="1"/>
  <c r="I156" i="1" s="1"/>
  <c r="E111" i="1"/>
  <c r="F111" i="1"/>
  <c r="F112" i="1" a="1"/>
  <c r="E112" i="1" a="1"/>
  <c r="E112" i="1" l="1"/>
  <c r="F112" i="1"/>
  <c r="C107" i="1"/>
  <c r="G111" i="1"/>
  <c r="G156" i="1"/>
  <c r="C103" i="1"/>
  <c r="C137" i="1" s="1"/>
  <c r="AF149" i="1"/>
  <c r="AF156" i="1" s="1"/>
  <c r="L156" i="1" s="1"/>
  <c r="C156" i="1"/>
  <c r="D111" i="1"/>
  <c r="F128" i="1"/>
  <c r="N61" i="1"/>
  <c r="F137" i="1"/>
  <c r="F125" i="1"/>
  <c r="I103" i="1"/>
  <c r="I107" i="1"/>
  <c r="N107" i="1"/>
  <c r="G103" i="1"/>
  <c r="G107" i="1"/>
  <c r="J125" i="1"/>
  <c r="J137" i="1"/>
  <c r="E128" i="1"/>
  <c r="E137" i="1"/>
  <c r="E125" i="1"/>
  <c r="I111" i="1"/>
  <c r="H137" i="1"/>
  <c r="H125" i="1"/>
  <c r="D103" i="1"/>
  <c r="D107" i="1"/>
  <c r="C111" i="1"/>
  <c r="C112" i="1" a="1"/>
  <c r="D112" i="1" a="1"/>
  <c r="C112" i="1" l="1"/>
  <c r="D112" i="1"/>
  <c r="AQ111" i="1"/>
  <c r="N103" i="1"/>
  <c r="N111" i="1" s="1"/>
  <c r="E96" i="1"/>
  <c r="E98" i="1" s="1"/>
  <c r="I125" i="1"/>
  <c r="I137" i="1"/>
  <c r="C128" i="1"/>
  <c r="K107" i="1"/>
  <c r="G125" i="1"/>
  <c r="G137" i="1"/>
  <c r="C125" i="1"/>
  <c r="K103" i="1"/>
  <c r="D128" i="1"/>
  <c r="D137" i="1"/>
  <c r="D125" i="1"/>
  <c r="J96" i="1"/>
  <c r="J98" i="1" s="1"/>
  <c r="J136" i="1"/>
  <c r="H136" i="1"/>
  <c r="H96" i="1"/>
  <c r="H98" i="1" s="1"/>
  <c r="F96" i="1"/>
  <c r="F98" i="1" s="1"/>
  <c r="K125" i="1" l="1"/>
  <c r="L125" i="1" s="1"/>
  <c r="G136" i="1"/>
  <c r="G96" i="1"/>
  <c r="G98" i="1" s="1"/>
  <c r="L103" i="1"/>
  <c r="L107" i="1"/>
  <c r="L111" i="1" s="1"/>
  <c r="I136" i="1"/>
  <c r="I96" i="1"/>
  <c r="I98" i="1" s="1"/>
  <c r="D96" i="1"/>
  <c r="D98" i="1" s="1"/>
  <c r="K137" i="1"/>
  <c r="C96" i="1"/>
  <c r="K96" i="1" l="1"/>
  <c r="C98" i="1"/>
  <c r="K98" i="1" s="1"/>
  <c r="L98" i="1" s="1"/>
  <c r="E99" i="1" l="1"/>
  <c r="E100" i="1" s="1"/>
  <c r="D99" i="1"/>
  <c r="D100" i="1" s="1"/>
  <c r="C99" i="1"/>
  <c r="J99" i="1"/>
  <c r="J100" i="1" s="1"/>
  <c r="H99" i="1"/>
  <c r="H100" i="1" s="1"/>
  <c r="G99" i="1"/>
  <c r="G100" i="1" s="1"/>
  <c r="I99" i="1"/>
  <c r="I100" i="1" s="1"/>
  <c r="F99" i="1"/>
  <c r="F100" i="1" s="1"/>
  <c r="C100" i="1" l="1"/>
  <c r="K99" i="1"/>
  <c r="N99" i="1" l="1"/>
  <c r="N100" i="1" s="1"/>
  <c r="O100" i="1"/>
  <c r="L100" i="1" l="1"/>
  <c r="I104" i="1" l="1"/>
  <c r="D104" i="1"/>
  <c r="F104" i="1"/>
  <c r="G104" i="1"/>
  <c r="H104" i="1"/>
  <c r="J104" i="1"/>
  <c r="E104" i="1"/>
  <c r="C104" i="1"/>
  <c r="H121" i="1" l="1"/>
  <c r="H122" i="1" s="1"/>
  <c r="H126" i="1"/>
  <c r="H120" i="1"/>
  <c r="H105" i="1"/>
  <c r="C105" i="1"/>
  <c r="C130" i="1"/>
  <c r="C120" i="1"/>
  <c r="C121" i="1"/>
  <c r="C122" i="1" s="1"/>
  <c r="K104" i="1"/>
  <c r="L104" i="1" s="1"/>
  <c r="C126" i="1"/>
  <c r="E130" i="1"/>
  <c r="E105" i="1"/>
  <c r="E120" i="1"/>
  <c r="E126" i="1"/>
  <c r="E129" i="1" s="1"/>
  <c r="E121" i="1"/>
  <c r="E122" i="1" s="1"/>
  <c r="F130" i="1"/>
  <c r="F126" i="1"/>
  <c r="F129" i="1" s="1"/>
  <c r="F105" i="1"/>
  <c r="F121" i="1"/>
  <c r="F122" i="1" s="1"/>
  <c r="F120" i="1"/>
  <c r="D126" i="1"/>
  <c r="D129" i="1" s="1"/>
  <c r="D105" i="1"/>
  <c r="D120" i="1"/>
  <c r="D121" i="1"/>
  <c r="D122" i="1" s="1"/>
  <c r="D130" i="1"/>
  <c r="J120" i="1"/>
  <c r="J126" i="1"/>
  <c r="J105" i="1"/>
  <c r="J121" i="1"/>
  <c r="J122" i="1" s="1"/>
  <c r="G126" i="1"/>
  <c r="G105" i="1"/>
  <c r="G121" i="1"/>
  <c r="G122" i="1" s="1"/>
  <c r="G120" i="1"/>
  <c r="I120" i="1"/>
  <c r="I105" i="1"/>
  <c r="I121" i="1"/>
  <c r="I122" i="1" s="1"/>
  <c r="I126" i="1"/>
  <c r="L120" i="1" l="1"/>
  <c r="K130" i="1"/>
  <c r="C129" i="1"/>
  <c r="K129" i="1" s="1"/>
  <c r="L129" i="1" s="1"/>
  <c r="K126" i="1"/>
  <c r="N127" i="1" s="1"/>
  <c r="K128" i="1" l="1"/>
  <c r="K132" i="1"/>
  <c r="K127" i="1"/>
  <c r="L130" i="1"/>
  <c r="K131" i="1"/>
  <c r="K4" i="1" l="1"/>
  <c r="L2" i="1"/>
  <c r="K143" i="1"/>
  <c r="L132" i="1"/>
  <c r="K133" i="1"/>
  <c r="K5" i="1" l="1"/>
  <c r="K3" i="1"/>
  <c r="M3" i="1"/>
  <c r="I133" i="1"/>
  <c r="I135" i="1" s="1"/>
  <c r="I134" i="1" s="1"/>
  <c r="E133" i="1"/>
  <c r="D133" i="1"/>
  <c r="D135" i="1" s="1"/>
  <c r="K144" i="1"/>
  <c r="F133" i="1"/>
  <c r="F135" i="1" s="1"/>
  <c r="G133" i="1"/>
  <c r="G135" i="1" s="1"/>
  <c r="G134" i="1" s="1"/>
  <c r="C133" i="1"/>
  <c r="C135" i="1" s="1"/>
  <c r="J133" i="1"/>
  <c r="J135" i="1" s="1"/>
  <c r="J134" i="1" s="1"/>
  <c r="H133" i="1"/>
  <c r="H135" i="1" s="1"/>
  <c r="H134" i="1" s="1"/>
  <c r="D138" i="1" l="1"/>
  <c r="D139" i="1" s="1"/>
  <c r="D134" i="1"/>
  <c r="C134" i="1"/>
  <c r="C138" i="1"/>
  <c r="C139" i="1" s="1"/>
  <c r="L108" i="1"/>
  <c r="E135" i="1"/>
  <c r="K135" i="1" s="1"/>
  <c r="K140" i="1" s="1"/>
  <c r="K141" i="1" s="1"/>
  <c r="F134" i="1"/>
  <c r="F138" i="1"/>
  <c r="F139" i="1" s="1"/>
  <c r="E138" i="1" l="1"/>
  <c r="E139" i="1" s="1"/>
  <c r="E134" i="1"/>
  <c r="L109" i="1" s="1"/>
  <c r="K138" i="1"/>
  <c r="L4" i="1" s="1"/>
  <c r="C136" i="1"/>
  <c r="C106" i="1"/>
  <c r="C108" i="1" s="1"/>
  <c r="F136" i="1"/>
  <c r="F106" i="1"/>
  <c r="F108" i="1" s="1"/>
  <c r="D106" i="1"/>
  <c r="D108" i="1" s="1"/>
  <c r="D136" i="1"/>
  <c r="M1" i="1" l="1"/>
  <c r="M4" i="1"/>
  <c r="M2" i="1"/>
  <c r="L139" i="1"/>
  <c r="E136" i="1"/>
  <c r="K136" i="1" s="1"/>
  <c r="E106" i="1"/>
  <c r="E108" i="1" s="1"/>
  <c r="K134" i="1"/>
  <c r="K106" i="1" l="1"/>
  <c r="L10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tc={99C249E4-44C8-4539-B9BF-FF2E48560D29}</author>
    <author>tc={87279337-8C80-4B95-ACCB-249B5B64E26D}</author>
    <author>tc={0B869904-0575-4A17-8FFF-851FD6A9215A}</author>
    <author>tc={6AFA35F9-9BCB-4D05-A05F-04D23E6F544E}</author>
    <author>Klas Dalbjörn</author>
  </authors>
  <commentList>
    <comment ref="M2" authorId="0" shapeId="0" xr:uid="{99C249E4-44C8-4539-B9BF-FF2E48560D29}">
      <text>
        <t>[Threaded comment]
Your version of Excel allows you to read this threaded comment; however, any edits to it will get removed if the file is opened in a newer version of Excel. Learn more: https://go.microsoft.com/fwlink/?linkid=870924
Comment:
    Scenario 1</t>
      </text>
    </comment>
    <comment ref="M3" authorId="1" shapeId="0" xr:uid="{87279337-8C80-4B95-ACCB-249B5B64E26D}">
      <text>
        <t>[Threaded comment]
Your version of Excel allows you to read this threaded comment; however, any edits to it will get removed if the file is opened in a newer version of Excel. Learn more: https://go.microsoft.com/fwlink/?linkid=870924
Comment:
    Scenario 2</t>
      </text>
    </comment>
    <comment ref="M4" authorId="2" shapeId="0" xr:uid="{0B869904-0575-4A17-8FFF-851FD6A9215A}">
      <text>
        <t>[Threaded comment]
Your version of Excel allows you to read this threaded comment; however, any edits to it will get removed if the file is opened in a newer version of Excel. Learn more: https://go.microsoft.com/fwlink/?linkid=870924
Comment:
    Scenario 3</t>
      </text>
    </comment>
    <comment ref="M5" authorId="3" shapeId="0" xr:uid="{6AFA35F9-9BCB-4D05-A05F-04D23E6F544E}">
      <text>
        <t>[Threaded comment]
Your version of Excel allows you to read this threaded comment; however, any edits to it will get removed if the file is opened in a newer version of Excel. Learn more: https://go.microsoft.com/fwlink/?linkid=870924
Comment:
    Scenario 4</t>
      </text>
    </comment>
    <comment ref="N7" authorId="4" shapeId="0" xr:uid="{E6A1E3AE-AD3C-4520-A061-BE13D386B89C}">
      <text>
        <r>
          <rPr>
            <b/>
            <sz val="9"/>
            <color indexed="81"/>
            <rFont val="Calibri"/>
            <family val="2"/>
            <charset val="134"/>
          </rPr>
          <t>Klas Dalbjörn:</t>
        </r>
        <r>
          <rPr>
            <sz val="9"/>
            <color indexed="81"/>
            <rFont val="Calibri"/>
            <family val="2"/>
            <charset val="134"/>
          </rPr>
          <t xml:space="preserve">
I suggest that this is a power level that we know that  we can sustain forever in 25 C with a 4 ohm load</t>
        </r>
      </text>
    </comment>
    <comment ref="B107" authorId="4" shapeId="0" xr:uid="{9D5B6AB5-2885-413C-A5BB-049887E0890B}">
      <text>
        <r>
          <rPr>
            <b/>
            <sz val="9"/>
            <color indexed="81"/>
            <rFont val="Calibri"/>
            <family val="2"/>
            <charset val="134"/>
          </rPr>
          <t>Klas Dalbjörn:</t>
        </r>
        <r>
          <rPr>
            <sz val="9"/>
            <color indexed="81"/>
            <rFont val="Calibri"/>
            <family val="2"/>
            <charset val="134"/>
          </rPr>
          <t xml:space="preserve">
Used as limiter setting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tc={640F29E5-5E3D-4FB8-BFC6-9B9784D495B3}</author>
    <author>tc={BBA3AFB4-11F4-4B9A-BF89-E8E9CC79DDC8}</author>
    <author>tc={CCF36DE3-CAD7-4A3D-9D77-0A472C244334}</author>
  </authors>
  <commentList>
    <comment ref="F1" authorId="0" shapeId="0" xr:uid="{640F29E5-5E3D-4FB8-BFC6-9B9784D495B3}">
      <text>
        <t>[Threaded comment]
Your version of Excel allows you to read this threaded comment; however, any edits to it will get removed if the file is opened in a newer version of Excel. Learn more: https://go.microsoft.com/fwlink/?linkid=870924
Comment:
    All channels driven with the same burst power</t>
      </text>
    </comment>
    <comment ref="D2" authorId="1" shapeId="0" xr:uid="{BBA3AFB4-11F4-4B9A-BF89-E8E9CC79DDC8}">
      <text>
        <t>[Threaded comment]
Your version of Excel allows you to read this threaded comment; however, any edits to it will get removed if the file is opened in a newer version of Excel. Learn more: https://go.microsoft.com/fwlink/?linkid=870924
Comment:
    Maximum unclipped output voltage @ 8 ohms
Reply:
    What about situations when you set dip switch to 70v or 100v to get more voltage?</t>
      </text>
    </comment>
    <comment ref="E2" authorId="2" shapeId="0" xr:uid="{CCF36DE3-CAD7-4A3D-9D77-0A472C244334}">
      <text>
        <t>[Threaded comment]
Your version of Excel allows you to read this threaded comment; however, any edits to it will get removed if the file is opened in a newer version of Excel. Learn more: https://go.microsoft.com/fwlink/?linkid=870924
Comment:
    Maximum output current Apk</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<sst xmlns="http://schemas.openxmlformats.org/spreadsheetml/2006/main" count="515" uniqueCount="323">
  <si>
    <t>Quattrocanali 8804</t>
  </si>
  <si>
    <t>T904</t>
  </si>
  <si>
    <t>T604</t>
  </si>
  <si>
    <t>T304</t>
  </si>
  <si>
    <t>X4</t>
  </si>
  <si>
    <t>X4L</t>
  </si>
  <si>
    <t>Hi-Z calculator</t>
  </si>
  <si>
    <t>Lo-Z</t>
  </si>
  <si>
    <t xml:space="preserve">Pmains max at </t>
  </si>
  <si>
    <t>Amplifier data</t>
  </si>
  <si>
    <t>Selected</t>
  </si>
  <si>
    <t>PS404D</t>
  </si>
  <si>
    <t>PS604D</t>
  </si>
  <si>
    <t>PowerShare PSX4804D</t>
  </si>
  <si>
    <t>PowerShare PSX2404D</t>
  </si>
  <si>
    <t>PowerShare PSX1204D</t>
  </si>
  <si>
    <t>Voltage alternatives</t>
  </si>
  <si>
    <t>P</t>
  </si>
  <si>
    <t>100V</t>
  </si>
  <si>
    <t>vs Imax</t>
  </si>
  <si>
    <t>Max Ptot, burst</t>
  </si>
  <si>
    <t>Znom 25V</t>
  </si>
  <si>
    <t>70V</t>
  </si>
  <si>
    <t>Znom 70V</t>
  </si>
  <si>
    <t>Unused</t>
  </si>
  <si>
    <t>Znom 100V</t>
  </si>
  <si>
    <t>Max Ptot, avg</t>
  </si>
  <si>
    <t xml:space="preserve">User Input </t>
  </si>
  <si>
    <t>Max Pburst/ch</t>
  </si>
  <si>
    <t>Nominal</t>
  </si>
  <si>
    <t>Amplifier model</t>
  </si>
  <si>
    <t>Lo-Z voltage</t>
  </si>
  <si>
    <t>Actual</t>
  </si>
  <si>
    <t>Mains</t>
  </si>
  <si>
    <t>Max Apeak/ch</t>
  </si>
  <si>
    <t>Channel</t>
  </si>
  <si>
    <t>Max Vpeak/ch</t>
  </si>
  <si>
    <t>P act mains slow</t>
  </si>
  <si>
    <t>SMS118</t>
  </si>
  <si>
    <t>SM5/10/20 LF</t>
  </si>
  <si>
    <t>SM5/10/20 HF</t>
  </si>
  <si>
    <t>Highest Tap choice 70V/100V</t>
  </si>
  <si>
    <t>Profile</t>
  </si>
  <si>
    <t>Active power</t>
  </si>
  <si>
    <t>Crest factor</t>
  </si>
  <si>
    <t>Average reduction</t>
  </si>
  <si>
    <t>RMS Scaling</t>
  </si>
  <si>
    <t>Next Tap choice 70V/100V</t>
  </si>
  <si>
    <t>SW</t>
  </si>
  <si>
    <t>LF</t>
  </si>
  <si>
    <t>MF</t>
  </si>
  <si>
    <t xml:space="preserve"> (Lowest tap sometimes not available in 100v, check loudspeaker technical data sheet)</t>
  </si>
  <si>
    <t>HF</t>
  </si>
  <si>
    <t>FR</t>
  </si>
  <si>
    <t>P ch slow</t>
  </si>
  <si>
    <t>n_net_eff1</t>
  </si>
  <si>
    <t>Select: SW / LF / MF / HF / FR</t>
  </si>
  <si>
    <t>Vpk1</t>
  </si>
  <si>
    <t>READ ONLY! Combination of Crest factor and the fact that the speaker isn't a resistive load</t>
  </si>
  <si>
    <t>n_net_eff2</t>
  </si>
  <si>
    <t>Peak Limiter</t>
  </si>
  <si>
    <t>RMS Limiter</t>
  </si>
  <si>
    <t>Vpk2</t>
  </si>
  <si>
    <t>Attack</t>
  </si>
  <si>
    <t>Release</t>
  </si>
  <si>
    <t>Amplifier Output</t>
  </si>
  <si>
    <t>Total</t>
  </si>
  <si>
    <t>Headroom</t>
  </si>
  <si>
    <t>k</t>
  </si>
  <si>
    <t>16 - 32 ms</t>
  </si>
  <si>
    <t>128 - 384 ms</t>
  </si>
  <si>
    <t>2 - 4 sec</t>
  </si>
  <si>
    <t>4- 8 sec</t>
  </si>
  <si>
    <t>m</t>
  </si>
  <si>
    <t>8 - 16 ms</t>
  </si>
  <si>
    <t>64 - 256 ms</t>
  </si>
  <si>
    <t>1 - 2 sec</t>
  </si>
  <si>
    <t>2 - 8 ms</t>
  </si>
  <si>
    <t>16 - 64 ms</t>
  </si>
  <si>
    <t>0,3 - 0,8 sec</t>
  </si>
  <si>
    <t>0,5 - 2 sec</t>
  </si>
  <si>
    <t>P average</t>
  </si>
  <si>
    <t>Pidle</t>
  </si>
  <si>
    <t>0,5 - 2 ms</t>
  </si>
  <si>
    <t>8 - 32 ms</t>
  </si>
  <si>
    <t>0,15 - 0,3 sec</t>
  </si>
  <si>
    <t>Peak voltage</t>
  </si>
  <si>
    <t>PF</t>
  </si>
  <si>
    <t>Peak current</t>
  </si>
  <si>
    <t>Z</t>
  </si>
  <si>
    <t>Overall impedance</t>
  </si>
  <si>
    <t>P app. mains max</t>
  </si>
  <si>
    <t>Z min</t>
  </si>
  <si>
    <t>This is an assumption to try to ensure that there is output current headroom in the impedance dips.</t>
  </si>
  <si>
    <t>Max Pch 70V</t>
  </si>
  <si>
    <t>Round 1 - Ptot burst limited (hidden from user)</t>
  </si>
  <si>
    <t>Max Pch 100V</t>
  </si>
  <si>
    <t>Pburst channel limitation 1</t>
  </si>
  <si>
    <t>Pburst ch limit incl Umax</t>
  </si>
  <si>
    <t>Pburst ch limit incl Imax</t>
  </si>
  <si>
    <t>P burst</t>
  </si>
  <si>
    <t>Round 2 - Per channel limitation (hidden from user)</t>
  </si>
  <si>
    <t>Factor 2</t>
  </si>
  <si>
    <t>P of channels that can be increased</t>
  </si>
  <si>
    <t>Round 3 - Increase the previously decreased channels (hidden from user)</t>
  </si>
  <si>
    <t>Factor 3</t>
  </si>
  <si>
    <t>Max Ptot 70V</t>
  </si>
  <si>
    <t>Round 4 - Increase the previously decreased channels (hidden from user)</t>
  </si>
  <si>
    <t>Max Ptot 100V</t>
  </si>
  <si>
    <t>Factor 4</t>
  </si>
  <si>
    <t xml:space="preserve">Round 5 </t>
  </si>
  <si>
    <t>Headroom 70V</t>
  </si>
  <si>
    <t>Headroom 100V</t>
  </si>
  <si>
    <t>P average with maintained CF</t>
  </si>
  <si>
    <t>P average with equal reduction</t>
  </si>
  <si>
    <t>P average compromise</t>
  </si>
  <si>
    <t>Factor</t>
  </si>
  <si>
    <t>Pidle/ch</t>
  </si>
  <si>
    <t>Possible power from the amplifier</t>
  </si>
  <si>
    <t>#channels</t>
  </si>
  <si>
    <t>RMS voltage without use mains current limit</t>
  </si>
  <si>
    <t>P average with mains current limit</t>
  </si>
  <si>
    <t xml:space="preserve">Peak voltage </t>
  </si>
  <si>
    <t>RMS voltage</t>
  </si>
  <si>
    <t>Desired crest factor</t>
  </si>
  <si>
    <t>Difference between average power and average voltage</t>
  </si>
  <si>
    <t xml:space="preserve">Peak current </t>
  </si>
  <si>
    <t>X series Channel/Rail Limitation</t>
  </si>
  <si>
    <t>Peak current requested</t>
  </si>
  <si>
    <t>Delta Voltage</t>
  </si>
  <si>
    <t>Max Vpk Channel limited</t>
  </si>
  <si>
    <t>Possible vs desired (average)</t>
  </si>
  <si>
    <t>8 ohm P out</t>
  </si>
  <si>
    <t>Crest factor possible</t>
  </si>
  <si>
    <t>8 ohm BTU</t>
  </si>
  <si>
    <t>Crest factor headroom</t>
  </si>
  <si>
    <t>8 ohm P in</t>
  </si>
  <si>
    <t>Current draw and thermal dissipation</t>
  </si>
  <si>
    <t>N eff 8 ohm</t>
  </si>
  <si>
    <t>Automatic settings</t>
  </si>
  <si>
    <t>P ch fast</t>
  </si>
  <si>
    <t>4 ohm BTU</t>
  </si>
  <si>
    <t>P mains slow</t>
  </si>
  <si>
    <t>Estimated net efficiency</t>
  </si>
  <si>
    <t>P mains worst case</t>
  </si>
  <si>
    <t>P mains estimated</t>
  </si>
  <si>
    <t>I mains estimated</t>
  </si>
  <si>
    <t>I mains limited to</t>
  </si>
  <si>
    <t>4ohm BTU</t>
  </si>
  <si>
    <t>P mains possible</t>
  </si>
  <si>
    <t>1/4th power</t>
  </si>
  <si>
    <t>Pout possible (burst with the same CF)</t>
  </si>
  <si>
    <t>P out possible (average)</t>
  </si>
  <si>
    <t>Pout 4 ohm</t>
  </si>
  <si>
    <t>Crest factor extension</t>
  </si>
  <si>
    <t>Gain reduction (burst)</t>
  </si>
  <si>
    <t>1/8th power, Vpk</t>
  </si>
  <si>
    <t>Gain reduction (average)</t>
  </si>
  <si>
    <t>BTU</t>
  </si>
  <si>
    <t>P loss</t>
  </si>
  <si>
    <t>P 1/8th in 4 ohm</t>
  </si>
  <si>
    <t>N eff 4 ohm</t>
  </si>
  <si>
    <t>Apparent power</t>
  </si>
  <si>
    <t>PowerSoft Suggested Limiters Treshold</t>
  </si>
  <si>
    <t>Values that should be used in the limiter settings if creating custom presets</t>
  </si>
  <si>
    <t>Clip voltage</t>
  </si>
  <si>
    <t>Attack Time Range</t>
  </si>
  <si>
    <t>Release Time Range</t>
  </si>
  <si>
    <t>Bose EQ preset Treshold</t>
  </si>
  <si>
    <t>Peak Voltage</t>
  </si>
  <si>
    <t>RMS Voltage</t>
  </si>
  <si>
    <t>Amplifiers</t>
  </si>
  <si>
    <t>Channels</t>
  </si>
  <si>
    <t>Peaks</t>
  </si>
  <si>
    <t>Rated power, symmetrical load</t>
  </si>
  <si>
    <t>Total rated power</t>
  </si>
  <si>
    <t>Rated power, asymmetrical load</t>
  </si>
  <si>
    <t>Check 8 ohm</t>
  </si>
  <si>
    <t>CTA fraction</t>
  </si>
  <si>
    <t>Total Peak power available in W, 4 ohms</t>
  </si>
  <si>
    <t>highest lo-z limiter setting in Armonia/CSD</t>
  </si>
  <si>
    <t>Vpk</t>
  </si>
  <si>
    <t>Ipk</t>
  </si>
  <si>
    <t>2Ω</t>
  </si>
  <si>
    <t>4Ω</t>
  </si>
  <si>
    <t>8Ω</t>
  </si>
  <si>
    <t>PowerShareX 4804D</t>
  </si>
  <si>
    <t>PowerShareX 2404D</t>
  </si>
  <si>
    <t>PowerShareX 1204D</t>
  </si>
  <si>
    <t>PowerShare PS604D</t>
  </si>
  <si>
    <t>?</t>
  </si>
  <si>
    <t>n/a</t>
  </si>
  <si>
    <t>PowerShare PS404D</t>
  </si>
  <si>
    <t>Hi-Z/Lo-Z</t>
  </si>
  <si>
    <t>Hi-Z</t>
  </si>
  <si>
    <t>Voltage standard</t>
  </si>
  <si>
    <t>Thresholds</t>
  </si>
  <si>
    <t>"Nearing"</t>
  </si>
  <si>
    <t>"Exceeds"</t>
  </si>
  <si>
    <t>Product family</t>
  </si>
  <si>
    <t>Product</t>
  </si>
  <si>
    <t>RMS power (datasheet)</t>
  </si>
  <si>
    <t>Nominal impedance</t>
  </si>
  <si>
    <t>Max Hi-Z tap setting</t>
  </si>
  <si>
    <t>Other Tap settings (lowest available black text tap is lowest available is also a 100v tap setting)</t>
  </si>
  <si>
    <r>
      <rPr>
        <b/>
        <sz val="11"/>
        <color rgb="FFFF0000"/>
        <rFont val="Calibri"/>
        <family val="2"/>
        <scheme val="minor"/>
      </rPr>
      <t>Lowest tap setting</t>
    </r>
    <r>
      <rPr>
        <sz val="11"/>
        <color rgb="FFFF0000"/>
        <rFont val="Calibri"/>
        <family val="2"/>
        <scheme val="minor"/>
      </rPr>
      <t xml:space="preserve"> (on this model, not available in 100v)</t>
    </r>
  </si>
  <si>
    <t>V Peak threshold</t>
  </si>
  <si>
    <t>Attack msec</t>
  </si>
  <si>
    <t>Release msec</t>
  </si>
  <si>
    <t>V RMS threshold</t>
  </si>
  <si>
    <t>attac msec</t>
  </si>
  <si>
    <t>release msec</t>
  </si>
  <si>
    <t>Peak power (datasheet)</t>
  </si>
  <si>
    <t>Typical program material</t>
  </si>
  <si>
    <t>CF + reactive</t>
  </si>
  <si>
    <t>R:CTA ratio</t>
  </si>
  <si>
    <t>None</t>
  </si>
  <si>
    <t>FS2</t>
  </si>
  <si>
    <t>DesignMax small</t>
  </si>
  <si>
    <t>DM2</t>
  </si>
  <si>
    <t>DM3</t>
  </si>
  <si>
    <t>FreeSpace small</t>
  </si>
  <si>
    <t>FS4</t>
  </si>
  <si>
    <t>DesignMax large</t>
  </si>
  <si>
    <t>DM5</t>
  </si>
  <si>
    <t>DM6</t>
  </si>
  <si>
    <t>DM8</t>
  </si>
  <si>
    <t>DesignMax sub</t>
  </si>
  <si>
    <t>DM8C-Sub</t>
  </si>
  <si>
    <t>DM10S-Sub</t>
  </si>
  <si>
    <t>DM10P-Sub</t>
  </si>
  <si>
    <t>EdgeMax</t>
  </si>
  <si>
    <t>EM180</t>
  </si>
  <si>
    <t>EM90</t>
  </si>
  <si>
    <t>FreeSpace + Acoustimass</t>
  </si>
  <si>
    <t>FreeSpace outdoor</t>
  </si>
  <si>
    <t>Modular Array 
column line array</t>
  </si>
  <si>
    <t>MA12</t>
  </si>
  <si>
    <t>MA12EX</t>
  </si>
  <si>
    <t>ArenaMatch Utility</t>
  </si>
  <si>
    <t>AMU105</t>
  </si>
  <si>
    <t>AMU108</t>
  </si>
  <si>
    <t>AMU206</t>
  </si>
  <si>
    <t>AMU208</t>
  </si>
  <si>
    <t>ArenaMatch Multipurpose sub</t>
  </si>
  <si>
    <t>AMS115</t>
  </si>
  <si>
    <t>ArenaMatch Multipurpose</t>
  </si>
  <si>
    <t>AMM108</t>
  </si>
  <si>
    <t>AMM112 FR</t>
  </si>
  <si>
    <t>AMM112 HF</t>
  </si>
  <si>
    <t>Modular Bass sub</t>
  </si>
  <si>
    <t>MB210-WR</t>
  </si>
  <si>
    <t>ShowMatch</t>
  </si>
  <si>
    <t>ArenaMatch</t>
  </si>
  <si>
    <t>FS360P SII</t>
  </si>
  <si>
    <t>FS3 Surface</t>
  </si>
  <si>
    <t>FS3 Flush</t>
  </si>
  <si>
    <t>Consider adding continous power available lookup table (i.e. 1100W)</t>
  </si>
  <si>
    <t>Consider making B35 power requested</t>
  </si>
  <si>
    <t>Consider peak power requested</t>
  </si>
  <si>
    <t>peak power availble</t>
  </si>
  <si>
    <t>Peak Power Requested</t>
  </si>
  <si>
    <t>Peak Power Remaining</t>
  </si>
  <si>
    <r>
      <t>Lo-Z speaker = P</t>
    </r>
    <r>
      <rPr>
        <vertAlign val="subscript"/>
        <sz val="10"/>
        <color theme="1" tint="0.499984740745262"/>
        <rFont val="Calibri"/>
        <family val="2"/>
        <scheme val="minor"/>
      </rPr>
      <t>RMS</t>
    </r>
    <r>
      <rPr>
        <sz val="10"/>
        <color theme="1" tint="0.499984740745262"/>
        <rFont val="Calibri"/>
        <family val="2"/>
        <scheme val="minor"/>
      </rPr>
      <t xml:space="preserve"> x 2, Hi-Z speaker = rated power</t>
    </r>
  </si>
  <si>
    <t>Loudspeaker Information</t>
  </si>
  <si>
    <t>PowerShare Design Tool</t>
  </si>
  <si>
    <t>Asymetrical Rated Power Remaining
   [Single Channel Consideration]</t>
  </si>
  <si>
    <t>Instructions</t>
  </si>
  <si>
    <t>AM10/20/40 LF</t>
  </si>
  <si>
    <t>AM10/20/40 HF</t>
  </si>
  <si>
    <t>AM10/20/40 Passive</t>
  </si>
  <si>
    <t>Loudspeaker type OLD HIDDEN</t>
  </si>
  <si>
    <t>Nominal impedance Lo-Z OLD HIDDEN</t>
  </si>
  <si>
    <t>Profile HIDDEN</t>
  </si>
  <si>
    <t>#Cabinets in parallel OLD HIDDEN</t>
  </si>
  <si>
    <t>Average active power HIDDEN</t>
  </si>
  <si>
    <r>
      <t>P</t>
    </r>
    <r>
      <rPr>
        <vertAlign val="subscript"/>
        <sz val="12"/>
        <color theme="1"/>
        <rFont val="Calibri"/>
        <family val="2"/>
        <scheme val="minor"/>
      </rPr>
      <t>RMS</t>
    </r>
    <r>
      <rPr>
        <sz val="11"/>
        <color theme="1"/>
        <rFont val="Calibri"/>
        <family val="2"/>
        <scheme val="minor"/>
      </rPr>
      <t xml:space="preserve"> (or Hi-Z tap setting)  </t>
    </r>
  </si>
  <si>
    <t xml:space="preserve">User Output Offset </t>
  </si>
  <si>
    <t xml:space="preserve">RMS power - single speaker </t>
  </si>
  <si>
    <t xml:space="preserve">Tap Setting (70/100V) </t>
  </si>
  <si>
    <t xml:space="preserve">Loudspeaker type </t>
  </si>
  <si>
    <t xml:space="preserve">Bose Professional Loudspeaker </t>
  </si>
  <si>
    <t>If this results in +3dB, go down an amp model. If this results in -3dB go up an amp model.</t>
  </si>
  <si>
    <t>Power Requested</t>
  </si>
  <si>
    <t>Z nominal (LO-Z)</t>
  </si>
  <si>
    <t>Gray cells = user adjustment</t>
  </si>
  <si>
    <t>Nominal impedance (when used in LO-Z)</t>
  </si>
  <si>
    <r>
      <t>Bose Professional Power Handling, Long-term Continuous</t>
    </r>
    <r>
      <rPr>
        <b/>
        <sz val="10"/>
        <color theme="1" tint="0.499984740745262"/>
        <rFont val="Calibri"/>
        <family val="2"/>
        <scheme val="minor"/>
      </rPr>
      <t xml:space="preserve"> </t>
    </r>
    <r>
      <rPr>
        <sz val="10"/>
        <color theme="1" tint="0.499984740745262"/>
        <rFont val="Calibri"/>
        <family val="2"/>
        <scheme val="minor"/>
      </rPr>
      <t>for one cabinet
 or the tap value of a Hi-Z loudspeaker</t>
    </r>
  </si>
  <si>
    <t xml:space="preserve">Select: Lo-Z / 100V / 70V / Unused. Unused must be selected when appropriate for headroom to
 be accurate. </t>
  </si>
  <si>
    <t>Select.  Note that the lowest tap is sometimes not available in 100v, check technical data sheet for 
 details</t>
  </si>
  <si>
    <t xml:space="preserve">#Speakers in parallel </t>
  </si>
  <si>
    <t>AMM112 LF</t>
  </si>
  <si>
    <t xml:space="preserve">Dipswitch setting on rear panel of amplifier. AMM112 FR, LF on PSX1204D, PSX2404D 100V     
 dipswitch reccomended. </t>
  </si>
  <si>
    <t>DIP Switch Override</t>
  </si>
  <si>
    <t>SMFill_LF</t>
  </si>
  <si>
    <t>SMFill_HF</t>
  </si>
  <si>
    <t>SM_4Box_65_LF</t>
  </si>
  <si>
    <t>AMArray_LF</t>
  </si>
  <si>
    <t>not from AK, assuming 1204D can do 80v clip on lo-z</t>
  </si>
  <si>
    <t>new Eqs added to list</t>
  </si>
  <si>
    <t>NOT UPDATED LATELY 8/17/2023</t>
  </si>
  <si>
    <t xml:space="preserve">   </t>
  </si>
  <si>
    <t>170+C+K4</t>
  </si>
  <si>
    <t>DML88P</t>
  </si>
  <si>
    <t>Forum</t>
  </si>
  <si>
    <t>FC112 FR</t>
  </si>
  <si>
    <t>FC112 HF</t>
  </si>
  <si>
    <t>FC112 LF</t>
  </si>
  <si>
    <t>FC108 FR</t>
  </si>
  <si>
    <t>FC108 HF</t>
  </si>
  <si>
    <t>FC108 LF</t>
  </si>
  <si>
    <t>ShowTime</t>
  </si>
  <si>
    <t>SK12</t>
  </si>
  <si>
    <t>EM180-LP</t>
  </si>
  <si>
    <t>EM90-LP</t>
  </si>
  <si>
    <t>Enable macros to use PowerShare Design Tool!</t>
  </si>
  <si>
    <t>Select loudspeaker.</t>
  </si>
  <si>
    <t>Enter number of parallel speakers per channel.</t>
  </si>
  <si>
    <t>DM12SE</t>
  </si>
  <si>
    <t>Series V</t>
  </si>
  <si>
    <t>402_SeriesV</t>
  </si>
  <si>
    <t>802_SeriesV</t>
  </si>
  <si>
    <r>
      <t xml:space="preserve">Enable macros to use PowerShare Design Tool
If you experience a security risk warning, go to the file's properties &gt; general tab &gt; at the bottom </t>
    </r>
    <r>
      <rPr>
        <sz val="11"/>
        <rFont val="Gill Sans"/>
      </rPr>
      <t>security</t>
    </r>
    <r>
      <rPr>
        <sz val="11"/>
        <rFont val="Gill Sans"/>
        <family val="2"/>
      </rPr>
      <t xml:space="preserve"> &gt;  unblock 
This tool is designed to help you to understand the power sharing capabilities in PowerShareX amplifiers. With this tool you can choose an amplifier and specify the loudspeakers for the system configuration you want to review. Results are estimated values and may be used as a starting point for your system design.  Please also refer to the amplifier technical data sheets when reviewing your system design plan.
v1.0.3 add loudspeaker options for DesignMax DML88P and DM12SE, EdgeMax EM180-LP and EM90-LP, Forum FC108 and FC112, ShowTime SK12, 402 Series V, and 802 Series V.</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</si>
</sst>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0.0&quot; Arms&quot;"/>
    <numFmt numFmtId="165" formatCode="0&quot; W&quot;"/>
    <numFmt numFmtId="166" formatCode="0.0"/>
    <numFmt numFmtId="167" formatCode="0.0&quot; dB&quot;"/>
    <numFmt numFmtId="168" formatCode="0.0&quot; ohm&quot;"/>
    <numFmt numFmtId="169" formatCode="0&quot; Vpk&quot;"/>
    <numFmt numFmtId="170" formatCode="0&quot; Arms&quot;"/>
    <numFmt numFmtId="171" formatCode="0.0&quot; Vpk&quot;"/>
    <numFmt numFmtId="172" formatCode="0&quot; V&quot;"/>
    <numFmt numFmtId="173" formatCode="0&quot; A&quot;"/>
    <numFmt numFmtId="174" formatCode="0&quot; Apk&quot;"/>
    <numFmt numFmtId="175" formatCode="0.0&quot; Apk&quot;"/>
    <numFmt numFmtId="176" formatCode="0&quot; dB&quot;"/>
    <numFmt numFmtId="177" formatCode="0.0%"/>
    <numFmt numFmtId="178" formatCode="0.0&quot; W&quot;"/>
    <numFmt numFmtId="179" formatCode="0&quot; VA&quot;"/>
    <numFmt numFmtId="180" formatCode="0&quot; BTU/h&quot;"/>
    <numFmt numFmtId="181" formatCode="0&quot; ms&quot;"/>
    <numFmt numFmtId="182" formatCode="0.0&quot; ms&quot;"/>
    <numFmt numFmtId="183" formatCode="0.0&quot; sec&quot;"/>
  </numFmts>
  <fonts count="55">
    <font>
      <sz val="11"/>
      <color theme="1"/>
      <name val="Calibri"/>
      <family val="2"/>
      <scheme val="minor"/>
    </font>
    <font>
      <sz val="11"/>
      <color theme="1"/>
      <name val="Calibri"/>
      <family val="2"/>
      <scheme val="minor"/>
    </font>
    <font>
      <sz val="11"/>
      <color rgb="FF006100"/>
      <name val="Calibri"/>
      <family val="2"/>
      <scheme val="minor"/>
    </font>
    <font>
      <sz val="11"/>
      <color rgb="FF9C5700"/>
      <name val="Calibri"/>
      <family val="2"/>
      <scheme val="minor"/>
    </font>
    <font>
      <sz val="11"/>
      <color rgb="FFFF0000"/>
      <name val="Calibri"/>
      <family val="2"/>
      <scheme val="minor"/>
    </font>
    <font>
      <b/>
      <sz val="11"/>
      <color theme="1"/>
      <name val="Calibri"/>
      <family val="2"/>
      <scheme val="minor"/>
    </font>
    <font>
      <b/>
      <sz val="12"/>
      <color theme="1"/>
      <name val="Calibri"/>
      <family val="2"/>
      <charset val="134"/>
      <scheme val="minor"/>
    </font>
    <font>
      <sz val="12"/>
      <color theme="0" tint="-0.499984740745262"/>
      <name val="Calibri"/>
      <family val="2"/>
      <scheme val="minor"/>
    </font>
    <font>
      <sz val="12"/>
      <color rgb="FF00B0F0"/>
      <name val="Calibri"/>
      <family val="2"/>
      <scheme val="minor"/>
    </font>
    <font>
      <b/>
      <i/>
      <sz val="12"/>
      <color rgb="FF008000"/>
      <name val="Calibri"/>
      <family val="2"/>
      <scheme val="minor"/>
    </font>
    <font>
      <sz val="12"/>
      <color theme="0" tint="-0.34998626667073579"/>
      <name val="Calibri"/>
      <family val="2"/>
      <scheme val="minor"/>
    </font>
    <font>
      <b/>
      <sz val="12"/>
      <color rgb="FFFF0000"/>
      <name val="Calibri"/>
      <family val="2"/>
      <scheme val="minor"/>
    </font>
    <font>
      <sz val="12"/>
      <color theme="1" tint="0.499984740745262"/>
      <name val="Calibri"/>
      <family val="2"/>
      <scheme val="minor"/>
    </font>
    <font>
      <b/>
      <sz val="12"/>
      <color theme="1" tint="0.499984740745262"/>
      <name val="Calibri"/>
      <family val="2"/>
      <scheme val="minor"/>
    </font>
    <font>
      <b/>
      <u/>
      <sz val="28"/>
      <color theme="1"/>
      <name val="Calibri"/>
      <family val="2"/>
      <scheme val="minor"/>
    </font>
    <font>
      <sz val="12"/>
      <color rgb="FF0088C4"/>
      <name val="Calibri"/>
      <family val="2"/>
      <scheme val="minor"/>
    </font>
    <font>
      <b/>
      <sz val="12"/>
      <color theme="1" tint="0.499984740745262"/>
      <name val="Calibri"/>
      <family val="2"/>
      <charset val="134"/>
      <scheme val="minor"/>
    </font>
    <font>
      <b/>
      <sz val="12"/>
      <color rgb="FFFF6600"/>
      <name val="Calibri"/>
      <family val="2"/>
      <scheme val="minor"/>
    </font>
    <font>
      <b/>
      <sz val="16"/>
      <color theme="1"/>
      <name val="Calibri"/>
      <family val="2"/>
      <scheme val="minor"/>
    </font>
    <font>
      <b/>
      <sz val="12"/>
      <color theme="1"/>
      <name val="Calibri"/>
      <family val="2"/>
      <scheme val="minor"/>
    </font>
    <font>
      <b/>
      <sz val="14"/>
      <color theme="1"/>
      <name val="Calibri"/>
      <family val="2"/>
      <scheme val="minor"/>
    </font>
    <font>
      <b/>
      <sz val="12"/>
      <color theme="0"/>
      <name val="Calibri"/>
      <family val="2"/>
      <scheme val="minor"/>
    </font>
    <font>
      <sz val="14"/>
      <color theme="1"/>
      <name val="Calibri"/>
      <family val="2"/>
      <scheme val="minor"/>
    </font>
    <font>
      <b/>
      <sz val="12"/>
      <color rgb="FF0088C4"/>
      <name val="Calibri"/>
      <family val="2"/>
      <scheme val="minor"/>
    </font>
    <font>
      <b/>
      <sz val="12"/>
      <name val="Calibri"/>
      <family val="2"/>
      <scheme val="minor"/>
    </font>
    <font>
      <sz val="12"/>
      <color rgb="FF008000"/>
      <name val="Calibri"/>
      <family val="2"/>
      <scheme val="minor"/>
    </font>
    <font>
      <vertAlign val="subscript"/>
      <sz val="12"/>
      <color theme="1"/>
      <name val="Calibri"/>
      <family val="2"/>
      <scheme val="minor"/>
    </font>
    <font>
      <sz val="11"/>
      <color theme="1" tint="0.499984740745262"/>
      <name val="Calibri"/>
      <family val="2"/>
      <scheme val="minor"/>
    </font>
    <font>
      <sz val="8"/>
      <color theme="1" tint="0.499984740745262"/>
      <name val="Calibri"/>
      <family val="2"/>
      <scheme val="minor"/>
    </font>
    <font>
      <i/>
      <sz val="12"/>
      <color theme="1"/>
      <name val="Calibri"/>
      <family val="2"/>
      <scheme val="minor"/>
    </font>
    <font>
      <i/>
      <sz val="12"/>
      <color theme="1" tint="0.499984740745262"/>
      <name val="Calibri"/>
      <family val="2"/>
      <scheme val="minor"/>
    </font>
    <font>
      <b/>
      <i/>
      <sz val="12"/>
      <color theme="1"/>
      <name val="Calibri"/>
      <family val="2"/>
      <scheme val="minor"/>
    </font>
    <font>
      <sz val="6"/>
      <color theme="1"/>
      <name val="Calibri"/>
      <family val="2"/>
      <scheme val="minor"/>
    </font>
    <font>
      <sz val="12"/>
      <color theme="0"/>
      <name val="Calibri"/>
      <family val="2"/>
      <charset val="134"/>
      <scheme val="minor"/>
    </font>
    <font>
      <sz val="12"/>
      <color rgb="FFFFC000"/>
      <name val="Calibri"/>
      <family val="2"/>
      <scheme val="minor"/>
    </font>
    <font>
      <b/>
      <sz val="9"/>
      <color indexed="81"/>
      <name val="Calibri"/>
      <family val="2"/>
      <charset val="134"/>
    </font>
    <font>
      <sz val="9"/>
      <color indexed="81"/>
      <name val="Calibri"/>
      <family val="2"/>
      <charset val="134"/>
    </font>
    <font>
      <b/>
      <sz val="28"/>
      <name val="Calibri"/>
      <family val="2"/>
      <scheme val="minor"/>
    </font>
    <font>
      <sz val="11"/>
      <name val="Gill Sans"/>
      <family val="2"/>
    </font>
    <font>
      <b/>
      <sz val="11"/>
      <color rgb="FFFF0000"/>
      <name val="Calibri"/>
      <family val="2"/>
      <scheme val="minor"/>
    </font>
    <font>
      <sz val="8"/>
      <name val="Calibri"/>
      <family val="2"/>
      <scheme val="minor"/>
    </font>
    <font>
      <sz val="11"/>
      <color rgb="FFFFC000"/>
      <name val="Calibri"/>
      <family val="2"/>
      <scheme val="minor"/>
    </font>
    <font>
      <sz val="12"/>
      <color theme="1"/>
      <name val="Calibri"/>
      <family val="2"/>
      <scheme val="minor"/>
    </font>
    <font>
      <sz val="10"/>
      <color theme="1"/>
      <name val="Calibri"/>
      <family val="2"/>
      <scheme val="minor"/>
    </font>
    <font>
      <sz val="10"/>
      <color theme="1" tint="0.499984740745262"/>
      <name val="Calibri"/>
      <family val="2"/>
      <scheme val="minor"/>
    </font>
    <font>
      <b/>
      <sz val="10"/>
      <color theme="1"/>
      <name val="Calibri"/>
      <family val="2"/>
      <scheme val="minor"/>
    </font>
    <font>
      <vertAlign val="subscript"/>
      <sz val="10"/>
      <color theme="1" tint="0.499984740745262"/>
      <name val="Calibri"/>
      <family val="2"/>
      <scheme val="minor"/>
    </font>
    <font>
      <sz val="10"/>
      <color rgb="FFFF0000"/>
      <name val="Calibri"/>
      <family val="2"/>
      <scheme val="minor"/>
    </font>
    <font>
      <sz val="10"/>
      <color rgb="FF9C5700"/>
      <name val="Calibri"/>
      <family val="2"/>
      <scheme val="minor"/>
    </font>
    <font>
      <sz val="10"/>
      <color theme="0"/>
      <name val="Calibri"/>
      <family val="2"/>
      <scheme val="minor"/>
    </font>
    <font>
      <sz val="10"/>
      <color theme="0" tint="-0.499984740745262"/>
      <name val="Calibri"/>
      <family val="2"/>
      <scheme val="minor"/>
    </font>
    <font>
      <b/>
      <sz val="10"/>
      <color theme="1" tint="0.499984740745262"/>
      <name val="Calibri"/>
      <family val="2"/>
      <scheme val="minor"/>
    </font>
    <font>
      <sz val="11"/>
      <color theme="0" tint="-0.249977111117893"/>
      <name val="Calibri"/>
      <family val="2"/>
      <scheme val="minor"/>
    </font>
    <font>
      <b/>
      <sz val="12"/>
      <color theme="0" tint="-0.249977111117893"/>
      <name val="Calibri"/>
      <family val="2"/>
      <scheme val="minor"/>
    </font>
    <font>
      <sz val="11"/>
      <name val="Gill Sans"/>
    </font>
  </fonts>
  <fills count="15">
    <fill>
      <patternFill patternType="none"/>
    </fill>
    <fill>
      <patternFill patternType="gray125"/>
    </fill>
    <fill>
      <patternFill patternType="solid">
        <fgColor rgb="FFC6EFCE"/>
      </patternFill>
    </fill>
    <fill>
      <patternFill patternType="solid">
        <fgColor rgb="FFFFEB9C"/>
      </patternFill>
    </fill>
    <fill>
      <patternFill patternType="solid">
        <fgColor theme="0"/>
        <bgColor indexed="64"/>
      </patternFill>
    </fill>
    <fill>
      <patternFill patternType="solid">
        <fgColor rgb="FFFFC000"/>
        <bgColor indexed="64"/>
      </patternFill>
    </fill>
    <fill>
      <patternFill patternType="solid">
        <fgColor rgb="FF0088C4"/>
        <bgColor indexed="64"/>
      </patternFill>
    </fill>
    <fill>
      <patternFill patternType="solid">
        <fgColor rgb="FFE2E2E2"/>
        <bgColor indexed="64"/>
      </patternFill>
    </fill>
    <fill>
      <patternFill patternType="solid">
        <fgColor theme="6" tint="0.7999816888943144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1"/>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s>
  <borders count="33">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auto="1"/>
      </top>
      <bottom style="thin">
        <color indexed="64"/>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medium">
        <color indexed="64"/>
      </right>
      <top/>
      <bottom style="medium">
        <color indexed="64"/>
      </bottom>
      <diagonal/>
    </border>
    <border>
      <left/>
      <right/>
      <top/>
      <bottom style="medium">
        <color auto="1"/>
      </bottom>
      <diagonal/>
    </border>
    <border>
      <left style="thin">
        <color indexed="64"/>
      </left>
      <right/>
      <top/>
      <bottom/>
      <diagonal/>
    </border>
    <border>
      <left style="thin">
        <color indexed="64"/>
      </left>
      <right/>
      <top/>
      <bottom style="thin">
        <color indexed="64"/>
      </bottom>
      <diagonal/>
    </border>
    <border>
      <left style="thin">
        <color indexed="64"/>
      </left>
      <right/>
      <top/>
      <bottom style="medium">
        <color auto="1"/>
      </bottom>
      <diagonal/>
    </border>
    <border>
      <left style="medium">
        <color auto="1"/>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5">
    <xf numFmtId="0" fontId="0" fillId="0" borderId="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1" fillId="0" borderId="0"/>
  </cellStyleXfs>
  <cellXfs count="366">
    <xf numFmtId="0" fontId="0" fillId="0" borderId="0" xfId="0"/>
    <xf numFmtId="0" fontId="0" fillId="4" borderId="0" xfId="0" applyFill="1" applyProtection="1">
      <protection hidden="1"/>
    </xf>
    <xf numFmtId="0" fontId="0" fillId="4" borderId="0" xfId="0" applyFill="1"/>
    <xf numFmtId="0" fontId="0" fillId="5" borderId="0" xfId="0" applyFill="1" applyAlignment="1">
      <alignment horizontal="center"/>
    </xf>
    <xf numFmtId="0" fontId="0" fillId="5" borderId="0" xfId="0" applyFill="1"/>
    <xf numFmtId="0" fontId="6" fillId="4" borderId="1" xfId="0" applyFont="1" applyFill="1" applyBorder="1"/>
    <xf numFmtId="0" fontId="0" fillId="4" borderId="2" xfId="0" applyFill="1" applyBorder="1"/>
    <xf numFmtId="0" fontId="0" fillId="5" borderId="0" xfId="0" applyFill="1" applyAlignment="1">
      <alignment horizontal="right"/>
    </xf>
    <xf numFmtId="164" fontId="7" fillId="5" borderId="0" xfId="0" applyNumberFormat="1" applyFont="1" applyFill="1" applyAlignment="1">
      <alignment horizontal="center" vertical="center"/>
    </xf>
    <xf numFmtId="0" fontId="4" fillId="5" borderId="0" xfId="0" applyFont="1" applyFill="1" applyAlignment="1">
      <alignment vertical="center" wrapText="1"/>
    </xf>
    <xf numFmtId="0" fontId="6" fillId="4" borderId="0" xfId="0" applyFont="1" applyFill="1"/>
    <xf numFmtId="0" fontId="0" fillId="4" borderId="0" xfId="0" applyFill="1" applyAlignment="1">
      <alignment horizontal="right"/>
    </xf>
    <xf numFmtId="0" fontId="8" fillId="4" borderId="0" xfId="0" applyFont="1" applyFill="1" applyAlignment="1">
      <alignment horizontal="right" vertical="center"/>
    </xf>
    <xf numFmtId="0" fontId="0" fillId="4" borderId="0" xfId="0" applyFill="1" applyAlignment="1">
      <alignment horizontal="right" vertical="center"/>
    </xf>
    <xf numFmtId="0" fontId="0" fillId="4" borderId="3" xfId="0" applyFill="1" applyBorder="1"/>
    <xf numFmtId="165" fontId="9" fillId="4" borderId="4" xfId="0" applyNumberFormat="1" applyFont="1" applyFill="1" applyBorder="1" applyAlignment="1">
      <alignment horizontal="left"/>
    </xf>
    <xf numFmtId="166" fontId="0" fillId="4" borderId="0" xfId="0" applyNumberFormat="1" applyFill="1"/>
    <xf numFmtId="167" fontId="10" fillId="5" borderId="0" xfId="0" applyNumberFormat="1" applyFont="1" applyFill="1" applyAlignment="1">
      <alignment horizontal="right" vertical="center"/>
    </xf>
    <xf numFmtId="0" fontId="0" fillId="4" borderId="0" xfId="0" applyFill="1" applyAlignment="1">
      <alignment horizontal="left"/>
    </xf>
    <xf numFmtId="0" fontId="4" fillId="5" borderId="0" xfId="0" quotePrefix="1" applyFont="1" applyFill="1" applyAlignment="1">
      <alignment wrapText="1"/>
    </xf>
    <xf numFmtId="165" fontId="6" fillId="4" borderId="0" xfId="0" applyNumberFormat="1" applyFont="1" applyFill="1"/>
    <xf numFmtId="165" fontId="6" fillId="4" borderId="0" xfId="0" applyNumberFormat="1" applyFont="1" applyFill="1" applyAlignment="1">
      <alignment horizontal="right"/>
    </xf>
    <xf numFmtId="165" fontId="11" fillId="4" borderId="0" xfId="0" applyNumberFormat="1" applyFont="1" applyFill="1" applyAlignment="1">
      <alignment horizontal="right"/>
    </xf>
    <xf numFmtId="165" fontId="11" fillId="4" borderId="0" xfId="0" applyNumberFormat="1" applyFont="1" applyFill="1"/>
    <xf numFmtId="0" fontId="0" fillId="4" borderId="0" xfId="0" applyFill="1" applyAlignment="1">
      <alignment horizontal="center"/>
    </xf>
    <xf numFmtId="168" fontId="12" fillId="4" borderId="4" xfId="0" applyNumberFormat="1" applyFont="1" applyFill="1" applyBorder="1" applyAlignment="1">
      <alignment horizontal="left"/>
    </xf>
    <xf numFmtId="165" fontId="13" fillId="4" borderId="0" xfId="0" applyNumberFormat="1" applyFont="1" applyFill="1" applyAlignment="1">
      <alignment horizontal="right"/>
    </xf>
    <xf numFmtId="165" fontId="13" fillId="4" borderId="0" xfId="0" applyNumberFormat="1" applyFont="1" applyFill="1"/>
    <xf numFmtId="0" fontId="0" fillId="4" borderId="5" xfId="0" applyFill="1" applyBorder="1"/>
    <xf numFmtId="168" fontId="12" fillId="4" borderId="6" xfId="0" applyNumberFormat="1" applyFont="1" applyFill="1" applyBorder="1" applyAlignment="1">
      <alignment horizontal="left"/>
    </xf>
    <xf numFmtId="0" fontId="14" fillId="4" borderId="0" xfId="0" applyFont="1" applyFill="1" applyAlignment="1">
      <alignment horizontal="left" vertical="center"/>
    </xf>
    <xf numFmtId="0" fontId="15" fillId="4" borderId="0" xfId="0" applyFont="1" applyFill="1"/>
    <xf numFmtId="169" fontId="0" fillId="4" borderId="0" xfId="0" applyNumberFormat="1" applyFill="1"/>
    <xf numFmtId="165" fontId="16" fillId="4" borderId="0" xfId="0" applyNumberFormat="1" applyFont="1" applyFill="1" applyAlignment="1">
      <alignment horizontal="right"/>
    </xf>
    <xf numFmtId="165" fontId="17" fillId="4" borderId="0" xfId="0" applyNumberFormat="1" applyFont="1" applyFill="1"/>
    <xf numFmtId="165" fontId="17" fillId="4" borderId="0" xfId="0" applyNumberFormat="1" applyFont="1" applyFill="1" applyAlignment="1">
      <alignment horizontal="right"/>
    </xf>
    <xf numFmtId="165" fontId="0" fillId="4" borderId="0" xfId="0" applyNumberFormat="1" applyFill="1"/>
    <xf numFmtId="170" fontId="0" fillId="4" borderId="0" xfId="0" applyNumberFormat="1" applyFill="1"/>
    <xf numFmtId="0" fontId="18" fillId="4" borderId="1" xfId="0" applyFont="1" applyFill="1" applyBorder="1" applyAlignment="1" applyProtection="1">
      <alignment vertical="center"/>
      <protection hidden="1"/>
    </xf>
    <xf numFmtId="0" fontId="0" fillId="4" borderId="7" xfId="0" applyFill="1" applyBorder="1" applyAlignment="1">
      <alignment vertical="center"/>
    </xf>
    <xf numFmtId="0" fontId="0" fillId="4" borderId="7" xfId="0" applyFill="1" applyBorder="1" applyAlignment="1">
      <alignment horizontal="center" vertical="center"/>
    </xf>
    <xf numFmtId="0" fontId="0" fillId="4" borderId="0" xfId="0" applyFill="1" applyAlignment="1">
      <alignment vertical="center"/>
    </xf>
    <xf numFmtId="165" fontId="6" fillId="4" borderId="0" xfId="0" applyNumberFormat="1" applyFont="1" applyFill="1" applyAlignment="1">
      <alignment vertical="center"/>
    </xf>
    <xf numFmtId="165" fontId="6" fillId="4" borderId="0" xfId="0" applyNumberFormat="1" applyFont="1" applyFill="1" applyAlignment="1">
      <alignment horizontal="right" vertical="center"/>
    </xf>
    <xf numFmtId="165" fontId="2" fillId="2" borderId="0" xfId="2" applyNumberFormat="1" applyAlignment="1" applyProtection="1">
      <alignment vertical="center"/>
    </xf>
    <xf numFmtId="165" fontId="20" fillId="4" borderId="0" xfId="0" applyNumberFormat="1" applyFont="1" applyFill="1" applyAlignment="1">
      <alignment horizontal="center" vertical="center"/>
    </xf>
    <xf numFmtId="0" fontId="0" fillId="4" borderId="0" xfId="0" applyFill="1" applyAlignment="1">
      <alignment horizontal="center" vertical="center"/>
    </xf>
    <xf numFmtId="0" fontId="6" fillId="4" borderId="3" xfId="0" applyFont="1" applyFill="1" applyBorder="1" applyAlignment="1" applyProtection="1">
      <alignment vertical="center"/>
      <protection hidden="1"/>
    </xf>
    <xf numFmtId="169" fontId="6" fillId="4" borderId="0" xfId="0" applyNumberFormat="1" applyFont="1" applyFill="1" applyAlignment="1">
      <alignment vertical="center"/>
    </xf>
    <xf numFmtId="171" fontId="6" fillId="4" borderId="0" xfId="0" applyNumberFormat="1" applyFont="1" applyFill="1" applyAlignment="1">
      <alignment horizontal="right" vertical="center"/>
    </xf>
    <xf numFmtId="169" fontId="2" fillId="2" borderId="0" xfId="2" applyNumberFormat="1" applyAlignment="1" applyProtection="1">
      <alignment vertical="center"/>
    </xf>
    <xf numFmtId="0" fontId="22" fillId="4" borderId="0" xfId="0" applyFont="1" applyFill="1" applyAlignment="1">
      <alignment vertical="center"/>
    </xf>
    <xf numFmtId="0" fontId="6" fillId="4" borderId="3" xfId="0" applyFont="1" applyFill="1" applyBorder="1" applyAlignment="1" applyProtection="1">
      <alignment horizontal="left" vertical="center"/>
      <protection hidden="1"/>
    </xf>
    <xf numFmtId="0" fontId="12" fillId="4" borderId="0" xfId="0" applyFont="1" applyFill="1" applyAlignment="1">
      <alignment vertical="center" wrapText="1"/>
    </xf>
    <xf numFmtId="174" fontId="6" fillId="4" borderId="0" xfId="0" applyNumberFormat="1" applyFont="1" applyFill="1" applyAlignment="1">
      <alignment vertical="center"/>
    </xf>
    <xf numFmtId="174" fontId="6" fillId="4" borderId="0" xfId="0" applyNumberFormat="1" applyFont="1" applyFill="1" applyAlignment="1">
      <alignment horizontal="right" vertical="center"/>
    </xf>
    <xf numFmtId="174" fontId="2" fillId="2" borderId="0" xfId="2" applyNumberFormat="1" applyAlignment="1" applyProtection="1">
      <alignment vertical="center"/>
    </xf>
    <xf numFmtId="175" fontId="6" fillId="4" borderId="0" xfId="0" applyNumberFormat="1" applyFont="1" applyFill="1" applyAlignment="1">
      <alignment vertical="center"/>
    </xf>
    <xf numFmtId="0" fontId="0" fillId="4" borderId="3" xfId="0" applyFill="1" applyBorder="1" applyAlignment="1">
      <alignment vertical="center"/>
    </xf>
    <xf numFmtId="0" fontId="0" fillId="4" borderId="3" xfId="0" applyFill="1" applyBorder="1" applyAlignment="1" applyProtection="1">
      <alignment vertical="center"/>
      <protection hidden="1"/>
    </xf>
    <xf numFmtId="0" fontId="0" fillId="4" borderId="0" xfId="0" applyFill="1" applyAlignment="1" applyProtection="1">
      <alignment vertical="center"/>
      <protection hidden="1"/>
    </xf>
    <xf numFmtId="169" fontId="6" fillId="4" borderId="0" xfId="0" applyNumberFormat="1" applyFont="1" applyFill="1" applyAlignment="1" applyProtection="1">
      <alignment vertical="center"/>
      <protection hidden="1"/>
    </xf>
    <xf numFmtId="169" fontId="6" fillId="4" borderId="0" xfId="0" applyNumberFormat="1" applyFont="1" applyFill="1" applyAlignment="1" applyProtection="1">
      <alignment horizontal="right" vertical="center"/>
      <protection hidden="1"/>
    </xf>
    <xf numFmtId="169" fontId="2" fillId="2" borderId="0" xfId="2" applyNumberFormat="1" applyAlignment="1" applyProtection="1">
      <alignment vertical="center"/>
      <protection hidden="1"/>
    </xf>
    <xf numFmtId="171" fontId="6" fillId="4" borderId="0" xfId="0" applyNumberFormat="1" applyFont="1" applyFill="1" applyAlignment="1" applyProtection="1">
      <alignment vertical="center"/>
      <protection hidden="1"/>
    </xf>
    <xf numFmtId="167" fontId="6" fillId="4" borderId="0" xfId="0" applyNumberFormat="1" applyFont="1" applyFill="1" applyAlignment="1" applyProtection="1">
      <alignment horizontal="center" vertical="center"/>
      <protection hidden="1"/>
    </xf>
    <xf numFmtId="0" fontId="0" fillId="4" borderId="0" xfId="0" applyFill="1" applyAlignment="1" applyProtection="1">
      <alignment horizontal="center" vertical="center"/>
      <protection hidden="1"/>
    </xf>
    <xf numFmtId="0" fontId="0" fillId="4" borderId="4" xfId="0" applyFill="1" applyBorder="1" applyAlignment="1" applyProtection="1">
      <alignment vertical="center"/>
      <protection hidden="1"/>
    </xf>
    <xf numFmtId="165" fontId="6" fillId="4" borderId="0" xfId="0" applyNumberFormat="1" applyFont="1" applyFill="1" applyAlignment="1" applyProtection="1">
      <alignment vertical="center"/>
      <protection hidden="1"/>
    </xf>
    <xf numFmtId="165" fontId="6" fillId="4" borderId="0" xfId="0" applyNumberFormat="1" applyFont="1" applyFill="1" applyAlignment="1" applyProtection="1">
      <alignment horizontal="right" vertical="center"/>
      <protection hidden="1"/>
    </xf>
    <xf numFmtId="165" fontId="2" fillId="2" borderId="0" xfId="2" applyNumberFormat="1" applyAlignment="1" applyProtection="1">
      <alignment vertical="center"/>
      <protection hidden="1"/>
    </xf>
    <xf numFmtId="165" fontId="11" fillId="4" borderId="0" xfId="0" applyNumberFormat="1" applyFont="1" applyFill="1" applyAlignment="1" applyProtection="1">
      <alignment horizontal="right" vertical="center"/>
      <protection hidden="1"/>
    </xf>
    <xf numFmtId="0" fontId="0" fillId="4" borderId="17" xfId="0" applyFill="1" applyBorder="1" applyAlignment="1" applyProtection="1">
      <alignment vertical="center"/>
      <protection hidden="1"/>
    </xf>
    <xf numFmtId="176" fontId="7" fillId="4" borderId="0" xfId="0" applyNumberFormat="1" applyFont="1" applyFill="1" applyAlignment="1" applyProtection="1">
      <alignment horizontal="center" vertical="center"/>
      <protection hidden="1"/>
    </xf>
    <xf numFmtId="176" fontId="25" fillId="4" borderId="0" xfId="0" applyNumberFormat="1" applyFont="1" applyFill="1" applyAlignment="1" applyProtection="1">
      <alignment horizontal="center" vertical="center"/>
      <protection hidden="1"/>
    </xf>
    <xf numFmtId="167" fontId="25" fillId="4" borderId="0" xfId="0" applyNumberFormat="1" applyFont="1" applyFill="1" applyAlignment="1" applyProtection="1">
      <alignment horizontal="center" vertical="center"/>
      <protection hidden="1"/>
    </xf>
    <xf numFmtId="2" fontId="0" fillId="4" borderId="18" xfId="0" applyNumberFormat="1" applyFill="1" applyBorder="1" applyAlignment="1" applyProtection="1">
      <alignment horizontal="center" vertical="center"/>
      <protection hidden="1"/>
    </xf>
    <xf numFmtId="165" fontId="21" fillId="6" borderId="8" xfId="0" applyNumberFormat="1" applyFont="1" applyFill="1" applyBorder="1" applyAlignment="1" applyProtection="1">
      <alignment horizontal="center" vertical="center"/>
      <protection locked="0"/>
    </xf>
    <xf numFmtId="0" fontId="12" fillId="4" borderId="0" xfId="0" applyFont="1" applyFill="1" applyAlignment="1">
      <alignment horizontal="center" vertical="center" wrapText="1"/>
    </xf>
    <xf numFmtId="165" fontId="11" fillId="4" borderId="0" xfId="0" applyNumberFormat="1" applyFont="1" applyFill="1" applyAlignment="1">
      <alignment vertical="center"/>
    </xf>
    <xf numFmtId="165" fontId="11" fillId="4" borderId="0" xfId="0" applyNumberFormat="1" applyFont="1" applyFill="1" applyAlignment="1">
      <alignment horizontal="right" vertical="center"/>
    </xf>
    <xf numFmtId="0" fontId="0" fillId="4" borderId="17" xfId="0" applyFill="1" applyBorder="1" applyAlignment="1">
      <alignment vertical="center"/>
    </xf>
    <xf numFmtId="176" fontId="7" fillId="4" borderId="0" xfId="0" applyNumberFormat="1" applyFont="1" applyFill="1" applyAlignment="1">
      <alignment horizontal="center" vertical="center"/>
    </xf>
    <xf numFmtId="176" fontId="25" fillId="4" borderId="0" xfId="0" applyNumberFormat="1" applyFont="1" applyFill="1" applyAlignment="1">
      <alignment horizontal="center" vertical="center"/>
    </xf>
    <xf numFmtId="167" fontId="25" fillId="4" borderId="0" xfId="0" applyNumberFormat="1" applyFont="1" applyFill="1" applyAlignment="1">
      <alignment horizontal="center" vertical="center"/>
    </xf>
    <xf numFmtId="2" fontId="0" fillId="4" borderId="18" xfId="0" applyNumberFormat="1" applyFill="1" applyBorder="1" applyAlignment="1">
      <alignment horizontal="center" vertical="center"/>
    </xf>
    <xf numFmtId="165" fontId="23" fillId="7" borderId="11" xfId="0" applyNumberFormat="1" applyFont="1" applyFill="1" applyBorder="1" applyAlignment="1" applyProtection="1">
      <alignment horizontal="center" vertical="center"/>
      <protection locked="0"/>
    </xf>
    <xf numFmtId="176" fontId="0" fillId="4" borderId="0" xfId="0" applyNumberFormat="1" applyFill="1" applyAlignment="1">
      <alignment horizontal="center" vertical="center"/>
    </xf>
    <xf numFmtId="167" fontId="0" fillId="4" borderId="0" xfId="0" applyNumberFormat="1" applyFill="1" applyAlignment="1">
      <alignment horizontal="center" vertical="center"/>
    </xf>
    <xf numFmtId="168" fontId="21" fillId="6" borderId="11" xfId="0" applyNumberFormat="1" applyFont="1" applyFill="1" applyBorder="1" applyAlignment="1" applyProtection="1">
      <alignment horizontal="center" vertical="center"/>
      <protection locked="0"/>
    </xf>
    <xf numFmtId="0" fontId="23" fillId="7" borderId="11" xfId="0" applyFont="1" applyFill="1" applyBorder="1" applyAlignment="1" applyProtection="1">
      <alignment horizontal="center" vertical="center"/>
      <protection locked="0"/>
    </xf>
    <xf numFmtId="0" fontId="12" fillId="4" borderId="0" xfId="0" applyFont="1" applyFill="1" applyAlignment="1">
      <alignment vertical="center"/>
    </xf>
    <xf numFmtId="9" fontId="6" fillId="4" borderId="0" xfId="0" applyNumberFormat="1" applyFont="1" applyFill="1" applyAlignment="1">
      <alignment vertical="center"/>
    </xf>
    <xf numFmtId="9" fontId="6" fillId="4" borderId="0" xfId="0" applyNumberFormat="1" applyFont="1" applyFill="1" applyAlignment="1">
      <alignment horizontal="right" vertical="center"/>
    </xf>
    <xf numFmtId="9" fontId="11" fillId="4" borderId="0" xfId="0" applyNumberFormat="1" applyFont="1" applyFill="1" applyAlignment="1">
      <alignment vertical="center"/>
    </xf>
    <xf numFmtId="9" fontId="11" fillId="4" borderId="0" xfId="0" applyNumberFormat="1" applyFont="1" applyFill="1" applyAlignment="1">
      <alignment horizontal="right" vertical="center"/>
    </xf>
    <xf numFmtId="0" fontId="0" fillId="4" borderId="19" xfId="0" applyFill="1" applyBorder="1" applyAlignment="1">
      <alignment vertical="center"/>
    </xf>
    <xf numFmtId="176" fontId="7" fillId="4" borderId="20" xfId="0" applyNumberFormat="1" applyFont="1" applyFill="1" applyBorder="1" applyAlignment="1">
      <alignment horizontal="center" vertical="center"/>
    </xf>
    <xf numFmtId="176" fontId="6" fillId="4" borderId="20" xfId="0" applyNumberFormat="1" applyFont="1" applyFill="1" applyBorder="1" applyAlignment="1">
      <alignment horizontal="center" vertical="center"/>
    </xf>
    <xf numFmtId="167" fontId="6" fillId="4" borderId="20" xfId="0" applyNumberFormat="1" applyFont="1" applyFill="1" applyBorder="1" applyAlignment="1">
      <alignment horizontal="center" vertical="center"/>
    </xf>
    <xf numFmtId="2" fontId="0" fillId="4" borderId="21" xfId="0" applyNumberFormat="1" applyFill="1" applyBorder="1" applyAlignment="1">
      <alignment horizontal="center" vertical="center"/>
    </xf>
    <xf numFmtId="0" fontId="21" fillId="6" borderId="11" xfId="0" applyFont="1" applyFill="1" applyBorder="1" applyAlignment="1" applyProtection="1">
      <alignment horizontal="center" vertical="center"/>
      <protection locked="0"/>
    </xf>
    <xf numFmtId="169" fontId="6" fillId="4" borderId="0" xfId="0" applyNumberFormat="1" applyFont="1" applyFill="1" applyAlignment="1">
      <alignment horizontal="right" vertical="center"/>
    </xf>
    <xf numFmtId="169" fontId="11" fillId="4" borderId="0" xfId="0" applyNumberFormat="1" applyFont="1" applyFill="1" applyAlignment="1">
      <alignment vertical="center"/>
    </xf>
    <xf numFmtId="169" fontId="11" fillId="4" borderId="0" xfId="0" applyNumberFormat="1" applyFont="1" applyFill="1" applyAlignment="1">
      <alignment horizontal="right" vertical="center"/>
    </xf>
    <xf numFmtId="176" fontId="0" fillId="4" borderId="0" xfId="0" applyNumberFormat="1" applyFill="1" applyAlignment="1">
      <alignment vertical="center"/>
    </xf>
    <xf numFmtId="167" fontId="15" fillId="4" borderId="11" xfId="0" applyNumberFormat="1" applyFont="1" applyFill="1" applyBorder="1" applyAlignment="1" applyProtection="1">
      <alignment horizontal="center" vertical="center"/>
      <protection locked="0"/>
    </xf>
    <xf numFmtId="0" fontId="12" fillId="4" borderId="0" xfId="0" applyFont="1" applyFill="1" applyAlignment="1">
      <alignment horizontal="center" vertical="center"/>
    </xf>
    <xf numFmtId="0" fontId="0" fillId="4" borderId="14" xfId="0" applyFill="1" applyBorder="1" applyAlignment="1">
      <alignment vertical="center"/>
    </xf>
    <xf numFmtId="0" fontId="0" fillId="4" borderId="5" xfId="0" applyFill="1" applyBorder="1" applyAlignment="1" applyProtection="1">
      <alignment vertical="center"/>
      <protection hidden="1"/>
    </xf>
    <xf numFmtId="176" fontId="23" fillId="7" borderId="23" xfId="0" applyNumberFormat="1" applyFont="1" applyFill="1" applyBorder="1" applyAlignment="1" applyProtection="1">
      <alignment horizontal="center" vertical="center"/>
      <protection locked="0"/>
    </xf>
    <xf numFmtId="0" fontId="0" fillId="4" borderId="24" xfId="0" applyFill="1" applyBorder="1" applyAlignment="1">
      <alignment horizontal="center" vertical="center"/>
    </xf>
    <xf numFmtId="0" fontId="12" fillId="4" borderId="24" xfId="0" applyFont="1" applyFill="1" applyBorder="1" applyAlignment="1">
      <alignment vertical="center" wrapText="1"/>
    </xf>
    <xf numFmtId="171" fontId="6" fillId="4" borderId="0" xfId="0" applyNumberFormat="1" applyFont="1" applyFill="1" applyAlignment="1">
      <alignment vertical="center"/>
    </xf>
    <xf numFmtId="0" fontId="6" fillId="4" borderId="17" xfId="0" applyFont="1" applyFill="1" applyBorder="1" applyAlignment="1">
      <alignment vertical="center"/>
    </xf>
    <xf numFmtId="0" fontId="0" fillId="4" borderId="25" xfId="0" applyFill="1" applyBorder="1" applyAlignment="1">
      <alignment vertical="center"/>
    </xf>
    <xf numFmtId="0" fontId="0" fillId="4" borderId="18" xfId="0" applyFill="1" applyBorder="1" applyAlignment="1">
      <alignment vertical="center"/>
    </xf>
    <xf numFmtId="0" fontId="6" fillId="4" borderId="1" xfId="0" applyFont="1" applyFill="1" applyBorder="1" applyAlignment="1" applyProtection="1">
      <alignment vertical="center"/>
      <protection hidden="1"/>
    </xf>
    <xf numFmtId="0" fontId="6" fillId="4" borderId="7" xfId="0" applyFont="1" applyFill="1" applyBorder="1" applyAlignment="1" applyProtection="1">
      <alignment horizontal="center" vertical="center"/>
      <protection hidden="1"/>
    </xf>
    <xf numFmtId="0" fontId="0" fillId="4" borderId="0" xfId="0" applyFill="1" applyAlignment="1" applyProtection="1">
      <alignment horizontal="right" vertical="center"/>
      <protection hidden="1"/>
    </xf>
    <xf numFmtId="0" fontId="0" fillId="4" borderId="25" xfId="0" applyFill="1" applyBorder="1" applyAlignment="1" applyProtection="1">
      <alignment horizontal="right" vertical="center"/>
      <protection hidden="1"/>
    </xf>
    <xf numFmtId="0" fontId="0" fillId="4" borderId="18" xfId="0" applyFill="1" applyBorder="1" applyAlignment="1" applyProtection="1">
      <alignment horizontal="right" vertical="center"/>
      <protection hidden="1"/>
    </xf>
    <xf numFmtId="0" fontId="6" fillId="4" borderId="0" xfId="0" applyFont="1" applyFill="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77" fontId="0" fillId="4" borderId="0" xfId="0" applyNumberFormat="1" applyFill="1" applyAlignment="1" applyProtection="1">
      <alignment vertical="center"/>
      <protection hidden="1"/>
    </xf>
    <xf numFmtId="177" fontId="0" fillId="4" borderId="0" xfId="0" applyNumberFormat="1" applyFill="1" applyAlignment="1" applyProtection="1">
      <alignment horizontal="right" vertical="center"/>
      <protection hidden="1"/>
    </xf>
    <xf numFmtId="165" fontId="13" fillId="4" borderId="0" xfId="0" applyNumberFormat="1" applyFont="1" applyFill="1" applyAlignment="1" applyProtection="1">
      <alignment horizontal="center" vertical="center"/>
      <protection hidden="1"/>
    </xf>
    <xf numFmtId="165" fontId="13" fillId="4" borderId="4" xfId="0" applyNumberFormat="1" applyFont="1" applyFill="1" applyBorder="1" applyAlignment="1" applyProtection="1">
      <alignment horizontal="center" vertical="center"/>
      <protection hidden="1"/>
    </xf>
    <xf numFmtId="167" fontId="12" fillId="4" borderId="0" xfId="0" applyNumberFormat="1" applyFont="1" applyFill="1" applyAlignment="1" applyProtection="1">
      <alignment horizontal="center" vertical="center"/>
      <protection hidden="1"/>
    </xf>
    <xf numFmtId="167" fontId="12" fillId="4" borderId="0" xfId="0" applyNumberFormat="1" applyFont="1" applyFill="1" applyAlignment="1" applyProtection="1">
      <alignment horizontal="right" vertical="center" wrapText="1"/>
      <protection hidden="1"/>
    </xf>
    <xf numFmtId="165" fontId="12" fillId="4" borderId="0" xfId="0" applyNumberFormat="1" applyFont="1" applyFill="1" applyAlignment="1" applyProtection="1">
      <alignment horizontal="center" vertical="center"/>
      <protection hidden="1"/>
    </xf>
    <xf numFmtId="165" fontId="12" fillId="4" borderId="4" xfId="0" applyNumberFormat="1" applyFont="1" applyFill="1" applyBorder="1" applyAlignment="1" applyProtection="1">
      <alignment horizontal="center" vertical="center"/>
      <protection hidden="1"/>
    </xf>
    <xf numFmtId="178" fontId="6" fillId="4" borderId="0" xfId="0" applyNumberFormat="1" applyFont="1" applyFill="1" applyAlignment="1" applyProtection="1">
      <alignment horizontal="right" vertical="center"/>
      <protection hidden="1"/>
    </xf>
    <xf numFmtId="0" fontId="6" fillId="4" borderId="0" xfId="0" applyFont="1" applyFill="1" applyAlignment="1" applyProtection="1">
      <alignment vertical="center"/>
      <protection hidden="1"/>
    </xf>
    <xf numFmtId="165" fontId="0" fillId="4" borderId="0" xfId="0" applyNumberFormat="1" applyFill="1" applyAlignment="1" applyProtection="1">
      <alignment vertical="center"/>
      <protection hidden="1"/>
    </xf>
    <xf numFmtId="169" fontId="12" fillId="4" borderId="0" xfId="0" applyNumberFormat="1" applyFont="1" applyFill="1" applyAlignment="1" applyProtection="1">
      <alignment horizontal="center" vertical="center"/>
      <protection hidden="1"/>
    </xf>
    <xf numFmtId="169" fontId="12" fillId="4" borderId="4" xfId="0" applyNumberFormat="1" applyFont="1" applyFill="1" applyBorder="1" applyAlignment="1" applyProtection="1">
      <alignment horizontal="center" vertical="center"/>
      <protection hidden="1"/>
    </xf>
    <xf numFmtId="2" fontId="6" fillId="4" borderId="0" xfId="0" applyNumberFormat="1" applyFont="1" applyFill="1" applyAlignment="1" applyProtection="1">
      <alignment vertical="center"/>
      <protection hidden="1"/>
    </xf>
    <xf numFmtId="0" fontId="6" fillId="4" borderId="0" xfId="0" applyFont="1" applyFill="1" applyAlignment="1" applyProtection="1">
      <alignment horizontal="right" vertical="center"/>
      <protection hidden="1"/>
    </xf>
    <xf numFmtId="0" fontId="0" fillId="4" borderId="19" xfId="0" applyFill="1" applyBorder="1" applyAlignment="1" applyProtection="1">
      <alignment vertical="center"/>
      <protection hidden="1"/>
    </xf>
    <xf numFmtId="0" fontId="0" fillId="4" borderId="26" xfId="0" applyFill="1" applyBorder="1" applyAlignment="1" applyProtection="1">
      <alignment horizontal="right" vertical="center"/>
      <protection hidden="1"/>
    </xf>
    <xf numFmtId="0" fontId="0" fillId="4" borderId="21" xfId="0" applyFill="1" applyBorder="1" applyAlignment="1" applyProtection="1">
      <alignment horizontal="right" vertical="center"/>
      <protection hidden="1"/>
    </xf>
    <xf numFmtId="174" fontId="12" fillId="4" borderId="4" xfId="0" applyNumberFormat="1" applyFont="1" applyFill="1" applyBorder="1" applyAlignment="1" applyProtection="1">
      <alignment horizontal="center" vertical="center"/>
      <protection hidden="1"/>
    </xf>
    <xf numFmtId="168" fontId="12" fillId="4" borderId="4" xfId="0" applyNumberFormat="1" applyFont="1" applyFill="1" applyBorder="1" applyAlignment="1" applyProtection="1">
      <alignment horizontal="center" vertical="center"/>
      <protection hidden="1"/>
    </xf>
    <xf numFmtId="179" fontId="6" fillId="4" borderId="0" xfId="0" applyNumberFormat="1" applyFont="1" applyFill="1" applyAlignment="1" applyProtection="1">
      <alignment vertical="center"/>
      <protection hidden="1"/>
    </xf>
    <xf numFmtId="179" fontId="6" fillId="4" borderId="0" xfId="0" applyNumberFormat="1" applyFont="1" applyFill="1" applyAlignment="1" applyProtection="1">
      <alignment horizontal="right" vertical="center"/>
      <protection hidden="1"/>
    </xf>
    <xf numFmtId="179" fontId="13" fillId="4" borderId="0" xfId="0" applyNumberFormat="1" applyFont="1" applyFill="1" applyAlignment="1" applyProtection="1">
      <alignment vertical="center"/>
      <protection hidden="1"/>
    </xf>
    <xf numFmtId="179" fontId="13" fillId="4" borderId="0" xfId="0" applyNumberFormat="1" applyFont="1" applyFill="1" applyAlignment="1" applyProtection="1">
      <alignment horizontal="right" vertical="center"/>
      <protection hidden="1"/>
    </xf>
    <xf numFmtId="168" fontId="12" fillId="4" borderId="24" xfId="0" applyNumberFormat="1" applyFont="1" applyFill="1" applyBorder="1" applyAlignment="1" applyProtection="1">
      <alignment horizontal="center" vertical="center"/>
      <protection hidden="1"/>
    </xf>
    <xf numFmtId="168" fontId="12" fillId="4" borderId="6" xfId="0" applyNumberFormat="1" applyFont="1" applyFill="1" applyBorder="1" applyAlignment="1" applyProtection="1">
      <alignment horizontal="center" vertical="center"/>
      <protection hidden="1"/>
    </xf>
    <xf numFmtId="0" fontId="28" fillId="4" borderId="24" xfId="0" applyFont="1" applyFill="1" applyBorder="1" applyAlignment="1" applyProtection="1">
      <alignment vertical="center" wrapText="1"/>
      <protection hidden="1"/>
    </xf>
    <xf numFmtId="0" fontId="12" fillId="4" borderId="24" xfId="0" applyFont="1" applyFill="1" applyBorder="1" applyAlignment="1" applyProtection="1">
      <alignment vertical="center" wrapText="1"/>
      <protection hidden="1"/>
    </xf>
    <xf numFmtId="170" fontId="24" fillId="4" borderId="0" xfId="0" applyNumberFormat="1" applyFont="1" applyFill="1" applyAlignment="1" applyProtection="1">
      <alignment vertical="center"/>
      <protection hidden="1"/>
    </xf>
    <xf numFmtId="170" fontId="24" fillId="4" borderId="0" xfId="0" applyNumberFormat="1" applyFont="1" applyFill="1" applyAlignment="1" applyProtection="1">
      <alignment horizontal="right" vertical="center"/>
      <protection hidden="1"/>
    </xf>
    <xf numFmtId="164" fontId="24" fillId="4" borderId="0" xfId="0" applyNumberFormat="1" applyFont="1" applyFill="1" applyAlignment="1" applyProtection="1">
      <alignment horizontal="right" vertical="center"/>
      <protection hidden="1"/>
    </xf>
    <xf numFmtId="170" fontId="11" fillId="4" borderId="0" xfId="0" applyNumberFormat="1" applyFont="1" applyFill="1" applyAlignment="1" applyProtection="1">
      <alignment vertical="center"/>
      <protection hidden="1"/>
    </xf>
    <xf numFmtId="164" fontId="11" fillId="4" borderId="0" xfId="0" applyNumberFormat="1" applyFont="1" applyFill="1" applyAlignment="1" applyProtection="1">
      <alignment horizontal="right" vertical="center"/>
      <protection hidden="1"/>
    </xf>
    <xf numFmtId="0" fontId="28" fillId="4" borderId="0" xfId="0" applyFont="1" applyFill="1" applyAlignment="1" applyProtection="1">
      <alignment vertical="center" wrapText="1"/>
      <protection hidden="1"/>
    </xf>
    <xf numFmtId="0" fontId="12" fillId="4" borderId="0" xfId="0" applyFont="1" applyFill="1" applyAlignment="1" applyProtection="1">
      <alignment vertical="center" wrapText="1"/>
      <protection hidden="1"/>
    </xf>
    <xf numFmtId="1" fontId="24" fillId="4" borderId="0" xfId="0" applyNumberFormat="1" applyFont="1" applyFill="1" applyAlignment="1" applyProtection="1">
      <alignment vertical="center"/>
      <protection hidden="1"/>
    </xf>
    <xf numFmtId="167" fontId="12" fillId="4" borderId="4" xfId="0" applyNumberFormat="1" applyFont="1" applyFill="1" applyBorder="1" applyAlignment="1" applyProtection="1">
      <alignment horizontal="center" vertical="center"/>
      <protection hidden="1"/>
    </xf>
    <xf numFmtId="165" fontId="0" fillId="4" borderId="0" xfId="0" applyNumberFormat="1" applyFill="1" applyAlignment="1">
      <alignment vertical="center"/>
    </xf>
    <xf numFmtId="0" fontId="29" fillId="4" borderId="3" xfId="0" applyFont="1" applyFill="1" applyBorder="1" applyAlignment="1" applyProtection="1">
      <alignment vertical="center"/>
      <protection hidden="1"/>
    </xf>
    <xf numFmtId="165" fontId="30" fillId="4" borderId="4" xfId="0" applyNumberFormat="1" applyFont="1" applyFill="1" applyBorder="1" applyAlignment="1" applyProtection="1">
      <alignment horizontal="center" vertical="center"/>
      <protection hidden="1"/>
    </xf>
    <xf numFmtId="0" fontId="31" fillId="4" borderId="3" xfId="0" applyFont="1" applyFill="1" applyBorder="1" applyAlignment="1" applyProtection="1">
      <alignment vertical="center"/>
      <protection hidden="1"/>
    </xf>
    <xf numFmtId="2" fontId="12" fillId="4" borderId="0" xfId="0" applyNumberFormat="1" applyFont="1" applyFill="1" applyAlignment="1" applyProtection="1">
      <alignment horizontal="center" vertical="center"/>
      <protection hidden="1"/>
    </xf>
    <xf numFmtId="2" fontId="12" fillId="4" borderId="4" xfId="0" applyNumberFormat="1" applyFont="1" applyFill="1" applyBorder="1" applyAlignment="1" applyProtection="1">
      <alignment horizontal="center" vertical="center"/>
      <protection hidden="1"/>
    </xf>
    <xf numFmtId="0" fontId="32" fillId="4" borderId="0" xfId="0" applyFont="1" applyFill="1" applyAlignment="1" applyProtection="1">
      <alignment vertical="center"/>
      <protection hidden="1"/>
    </xf>
    <xf numFmtId="165" fontId="0" fillId="4" borderId="0" xfId="0" applyNumberFormat="1" applyFill="1" applyAlignment="1" applyProtection="1">
      <alignment horizontal="center" vertical="center"/>
      <protection hidden="1"/>
    </xf>
    <xf numFmtId="0" fontId="3" fillId="3" borderId="3" xfId="3" applyBorder="1" applyAlignment="1" applyProtection="1">
      <alignment vertical="center"/>
      <protection hidden="1"/>
    </xf>
    <xf numFmtId="174" fontId="3" fillId="3" borderId="0" xfId="3" applyNumberFormat="1" applyBorder="1" applyAlignment="1" applyProtection="1">
      <alignment horizontal="center" vertical="center"/>
      <protection hidden="1"/>
    </xf>
    <xf numFmtId="174" fontId="3" fillId="3" borderId="4" xfId="3" applyNumberFormat="1" applyBorder="1" applyAlignment="1" applyProtection="1">
      <alignment horizontal="center" vertical="center"/>
      <protection hidden="1"/>
    </xf>
    <xf numFmtId="0" fontId="3" fillId="3" borderId="0" xfId="3" applyAlignment="1" applyProtection="1">
      <alignment horizontal="center" vertical="center"/>
      <protection hidden="1"/>
    </xf>
    <xf numFmtId="2" fontId="3" fillId="3" borderId="0" xfId="3" applyNumberFormat="1" applyAlignment="1" applyProtection="1">
      <alignment horizontal="center" vertical="center"/>
      <protection hidden="1"/>
    </xf>
    <xf numFmtId="0" fontId="3" fillId="3" borderId="0" xfId="3" applyAlignment="1" applyProtection="1">
      <alignment vertical="center"/>
      <protection hidden="1"/>
    </xf>
    <xf numFmtId="0" fontId="0" fillId="4" borderId="3" xfId="0" applyFill="1" applyBorder="1" applyProtection="1">
      <protection hidden="1"/>
    </xf>
    <xf numFmtId="0" fontId="0" fillId="4" borderId="4" xfId="0" applyFill="1" applyBorder="1" applyProtection="1">
      <protection hidden="1"/>
    </xf>
    <xf numFmtId="0" fontId="0" fillId="4" borderId="0" xfId="0" applyFill="1" applyAlignment="1" applyProtection="1">
      <alignment horizontal="center"/>
      <protection hidden="1"/>
    </xf>
    <xf numFmtId="0" fontId="0" fillId="4" borderId="1" xfId="0" applyFill="1" applyBorder="1" applyProtection="1">
      <protection hidden="1"/>
    </xf>
    <xf numFmtId="167" fontId="0" fillId="4" borderId="7" xfId="0" applyNumberFormat="1" applyFill="1" applyBorder="1" applyProtection="1">
      <protection hidden="1"/>
    </xf>
    <xf numFmtId="167" fontId="0" fillId="4" borderId="2" xfId="0" applyNumberFormat="1" applyFill="1" applyBorder="1" applyProtection="1">
      <protection hidden="1"/>
    </xf>
    <xf numFmtId="0" fontId="0" fillId="4" borderId="5" xfId="0" applyFill="1" applyBorder="1" applyProtection="1">
      <protection hidden="1"/>
    </xf>
    <xf numFmtId="167" fontId="0" fillId="4" borderId="24" xfId="0" applyNumberFormat="1" applyFill="1" applyBorder="1" applyProtection="1">
      <protection hidden="1"/>
    </xf>
    <xf numFmtId="167" fontId="0" fillId="4" borderId="6" xfId="0" applyNumberFormat="1" applyFill="1" applyBorder="1" applyProtection="1">
      <protection hidden="1"/>
    </xf>
    <xf numFmtId="165" fontId="24" fillId="4" borderId="7" xfId="0" applyNumberFormat="1" applyFont="1" applyFill="1" applyBorder="1" applyAlignment="1" applyProtection="1">
      <alignment horizontal="center" vertical="center"/>
      <protection hidden="1"/>
    </xf>
    <xf numFmtId="0" fontId="24" fillId="4" borderId="7" xfId="0" applyFont="1" applyFill="1" applyBorder="1" applyAlignment="1" applyProtection="1">
      <alignment horizontal="center" vertical="center"/>
      <protection hidden="1"/>
    </xf>
    <xf numFmtId="1" fontId="6" fillId="4" borderId="0" xfId="0" applyNumberFormat="1" applyFont="1" applyFill="1" applyAlignment="1" applyProtection="1">
      <alignment vertical="center"/>
      <protection hidden="1"/>
    </xf>
    <xf numFmtId="0" fontId="0" fillId="8" borderId="3" xfId="0" applyFill="1" applyBorder="1" applyAlignment="1" applyProtection="1">
      <alignment vertical="center"/>
      <protection hidden="1"/>
    </xf>
    <xf numFmtId="165" fontId="10" fillId="4" borderId="4" xfId="0" applyNumberFormat="1" applyFont="1" applyFill="1" applyBorder="1" applyAlignment="1" applyProtection="1">
      <alignment horizontal="center" vertical="center"/>
      <protection hidden="1"/>
    </xf>
    <xf numFmtId="171" fontId="12" fillId="4" borderId="0" xfId="0" applyNumberFormat="1" applyFont="1" applyFill="1" applyAlignment="1" applyProtection="1">
      <alignment horizontal="center" vertical="center"/>
      <protection hidden="1"/>
    </xf>
    <xf numFmtId="165" fontId="33" fillId="4" borderId="0" xfId="0" applyNumberFormat="1" applyFont="1" applyFill="1" applyAlignment="1" applyProtection="1">
      <alignment horizontal="center" vertical="center"/>
      <protection hidden="1"/>
    </xf>
    <xf numFmtId="178" fontId="12" fillId="4" borderId="4" xfId="0" applyNumberFormat="1" applyFont="1" applyFill="1" applyBorder="1" applyAlignment="1" applyProtection="1">
      <alignment horizontal="center" vertical="center"/>
      <protection hidden="1"/>
    </xf>
    <xf numFmtId="0" fontId="6" fillId="9" borderId="3" xfId="0" applyFont="1" applyFill="1" applyBorder="1" applyAlignment="1" applyProtection="1">
      <alignment vertical="center"/>
      <protection hidden="1"/>
    </xf>
    <xf numFmtId="0" fontId="34" fillId="4" borderId="3" xfId="0" applyFont="1" applyFill="1" applyBorder="1" applyAlignment="1" applyProtection="1">
      <alignment vertical="center"/>
      <protection hidden="1"/>
    </xf>
    <xf numFmtId="0" fontId="34" fillId="4" borderId="3" xfId="0" applyFont="1" applyFill="1" applyBorder="1" applyAlignment="1" applyProtection="1">
      <alignment horizontal="left" vertical="center" wrapText="1"/>
      <protection hidden="1"/>
    </xf>
    <xf numFmtId="174" fontId="13" fillId="4" borderId="4" xfId="0" applyNumberFormat="1" applyFont="1" applyFill="1" applyBorder="1" applyAlignment="1" applyProtection="1">
      <alignment horizontal="center" vertical="center"/>
      <protection hidden="1"/>
    </xf>
    <xf numFmtId="2" fontId="33" fillId="4" borderId="0" xfId="0" applyNumberFormat="1" applyFont="1" applyFill="1" applyAlignment="1" applyProtection="1">
      <alignment horizontal="center" vertical="center"/>
      <protection hidden="1"/>
    </xf>
    <xf numFmtId="175" fontId="12" fillId="4" borderId="0" xfId="0" applyNumberFormat="1" applyFont="1" applyFill="1" applyAlignment="1" applyProtection="1">
      <alignment horizontal="center" vertical="center"/>
      <protection hidden="1"/>
    </xf>
    <xf numFmtId="175" fontId="13" fillId="4" borderId="0" xfId="0" applyNumberFormat="1" applyFont="1" applyFill="1" applyAlignment="1" applyProtection="1">
      <alignment horizontal="center" vertical="center"/>
      <protection hidden="1"/>
    </xf>
    <xf numFmtId="175" fontId="13" fillId="4" borderId="4" xfId="0" applyNumberFormat="1" applyFont="1" applyFill="1" applyBorder="1" applyAlignment="1" applyProtection="1">
      <alignment horizontal="center" vertical="center"/>
      <protection hidden="1"/>
    </xf>
    <xf numFmtId="0" fontId="19" fillId="4" borderId="3" xfId="0" applyFont="1" applyFill="1" applyBorder="1" applyAlignment="1" applyProtection="1">
      <alignment vertical="center"/>
      <protection hidden="1"/>
    </xf>
    <xf numFmtId="172" fontId="13" fillId="4" borderId="0" xfId="0" applyNumberFormat="1" applyFont="1" applyFill="1" applyAlignment="1" applyProtection="1">
      <alignment horizontal="center" vertical="center"/>
      <protection hidden="1"/>
    </xf>
    <xf numFmtId="169" fontId="13" fillId="4" borderId="0" xfId="0" applyNumberFormat="1" applyFont="1" applyFill="1" applyAlignment="1" applyProtection="1">
      <alignment horizontal="center" vertical="center"/>
      <protection hidden="1"/>
    </xf>
    <xf numFmtId="167" fontId="3" fillId="3" borderId="0" xfId="3" applyNumberFormat="1" applyBorder="1" applyAlignment="1" applyProtection="1">
      <alignment horizontal="center" vertical="center"/>
      <protection hidden="1"/>
    </xf>
    <xf numFmtId="176" fontId="12" fillId="4" borderId="0" xfId="0" applyNumberFormat="1" applyFont="1" applyFill="1" applyAlignment="1" applyProtection="1">
      <alignment horizontal="center" vertical="center"/>
      <protection hidden="1"/>
    </xf>
    <xf numFmtId="176" fontId="12" fillId="4" borderId="4" xfId="0" applyNumberFormat="1" applyFont="1" applyFill="1" applyBorder="1" applyAlignment="1" applyProtection="1">
      <alignment horizontal="center" vertical="center"/>
      <protection hidden="1"/>
    </xf>
    <xf numFmtId="165" fontId="13" fillId="4" borderId="0" xfId="0" applyNumberFormat="1" applyFont="1" applyFill="1" applyAlignment="1" applyProtection="1">
      <alignment vertical="center"/>
      <protection hidden="1"/>
    </xf>
    <xf numFmtId="177" fontId="12" fillId="4" borderId="0" xfId="0" applyNumberFormat="1" applyFont="1" applyFill="1" applyAlignment="1" applyProtection="1">
      <alignment horizontal="center" vertical="center"/>
      <protection hidden="1"/>
    </xf>
    <xf numFmtId="177" fontId="12" fillId="4" borderId="4" xfId="0" applyNumberFormat="1" applyFont="1" applyFill="1" applyBorder="1" applyAlignment="1" applyProtection="1">
      <alignment horizontal="center" vertical="center"/>
      <protection hidden="1"/>
    </xf>
    <xf numFmtId="164" fontId="12" fillId="4" borderId="0" xfId="0" applyNumberFormat="1" applyFont="1" applyFill="1" applyAlignment="1" applyProtection="1">
      <alignment horizontal="center" vertical="center"/>
      <protection hidden="1"/>
    </xf>
    <xf numFmtId="0" fontId="0" fillId="10" borderId="3" xfId="0" applyFill="1" applyBorder="1" applyAlignment="1" applyProtection="1">
      <alignment vertical="center"/>
      <protection hidden="1"/>
    </xf>
    <xf numFmtId="167" fontId="12" fillId="4" borderId="24" xfId="0" applyNumberFormat="1" applyFont="1" applyFill="1" applyBorder="1" applyAlignment="1" applyProtection="1">
      <alignment horizontal="center" vertical="center"/>
      <protection hidden="1"/>
    </xf>
    <xf numFmtId="165" fontId="12" fillId="4" borderId="25" xfId="0" applyNumberFormat="1" applyFont="1" applyFill="1" applyBorder="1" applyAlignment="1" applyProtection="1">
      <alignment horizontal="center" vertical="center"/>
      <protection hidden="1"/>
    </xf>
    <xf numFmtId="0" fontId="0" fillId="4" borderId="24" xfId="0" applyFill="1" applyBorder="1" applyAlignment="1" applyProtection="1">
      <alignment vertical="center"/>
      <protection hidden="1"/>
    </xf>
    <xf numFmtId="180" fontId="12" fillId="4" borderId="27" xfId="0" applyNumberFormat="1" applyFont="1" applyFill="1" applyBorder="1" applyAlignment="1" applyProtection="1">
      <alignment horizontal="center" vertical="center"/>
      <protection hidden="1"/>
    </xf>
    <xf numFmtId="0" fontId="0" fillId="4" borderId="24" xfId="0" applyFill="1" applyBorder="1" applyAlignment="1" applyProtection="1">
      <alignment horizontal="center" vertical="center"/>
      <protection hidden="1"/>
    </xf>
    <xf numFmtId="177" fontId="0" fillId="4" borderId="0" xfId="1" applyNumberFormat="1" applyFont="1" applyFill="1" applyAlignment="1" applyProtection="1">
      <alignment vertical="center"/>
      <protection hidden="1"/>
    </xf>
    <xf numFmtId="179" fontId="7" fillId="4" borderId="0" xfId="0" applyNumberFormat="1" applyFont="1" applyFill="1" applyAlignment="1" applyProtection="1">
      <alignment horizontal="center"/>
      <protection hidden="1"/>
    </xf>
    <xf numFmtId="0" fontId="7" fillId="4" borderId="0" xfId="0" applyFont="1" applyFill="1" applyAlignment="1" applyProtection="1">
      <alignment horizontal="center"/>
      <protection hidden="1"/>
    </xf>
    <xf numFmtId="165" fontId="12" fillId="4" borderId="7" xfId="0" applyNumberFormat="1" applyFont="1" applyFill="1" applyBorder="1" applyAlignment="1" applyProtection="1">
      <alignment horizontal="center" vertical="center"/>
      <protection hidden="1"/>
    </xf>
    <xf numFmtId="165" fontId="12" fillId="4" borderId="2" xfId="0" applyNumberFormat="1" applyFont="1" applyFill="1" applyBorder="1" applyAlignment="1" applyProtection="1">
      <alignment horizontal="center" vertical="center"/>
      <protection hidden="1"/>
    </xf>
    <xf numFmtId="169" fontId="13" fillId="4" borderId="4" xfId="0" applyNumberFormat="1" applyFont="1" applyFill="1" applyBorder="1" applyAlignment="1" applyProtection="1">
      <alignment horizontal="center" vertical="center"/>
      <protection hidden="1"/>
    </xf>
    <xf numFmtId="0" fontId="0" fillId="4" borderId="28" xfId="0" applyFill="1" applyBorder="1" applyAlignment="1" applyProtection="1">
      <alignment vertical="center"/>
      <protection hidden="1"/>
    </xf>
    <xf numFmtId="169" fontId="12" fillId="4" borderId="15" xfId="0" applyNumberFormat="1" applyFont="1" applyFill="1" applyBorder="1" applyAlignment="1" applyProtection="1">
      <alignment horizontal="center" vertical="center"/>
      <protection hidden="1"/>
    </xf>
    <xf numFmtId="169" fontId="12" fillId="4" borderId="29" xfId="0" applyNumberFormat="1" applyFont="1" applyFill="1" applyBorder="1" applyAlignment="1" applyProtection="1">
      <alignment horizontal="center" vertical="center"/>
      <protection hidden="1"/>
    </xf>
    <xf numFmtId="0" fontId="34" fillId="8" borderId="3" xfId="0" applyFont="1" applyFill="1" applyBorder="1" applyAlignment="1" applyProtection="1">
      <alignment vertical="center"/>
      <protection hidden="1"/>
    </xf>
    <xf numFmtId="0" fontId="34" fillId="8" borderId="3" xfId="0" applyFont="1" applyFill="1" applyBorder="1" applyAlignment="1" applyProtection="1">
      <alignment horizontal="left" vertical="center" wrapText="1"/>
      <protection hidden="1"/>
    </xf>
    <xf numFmtId="175" fontId="12" fillId="4" borderId="4" xfId="0" applyNumberFormat="1" applyFont="1" applyFill="1" applyBorder="1" applyAlignment="1" applyProtection="1">
      <alignment horizontal="center" vertical="center"/>
      <protection hidden="1"/>
    </xf>
    <xf numFmtId="175" fontId="12" fillId="4" borderId="24" xfId="0" applyNumberFormat="1" applyFont="1" applyFill="1" applyBorder="1" applyAlignment="1" applyProtection="1">
      <alignment horizontal="center" vertical="center"/>
      <protection hidden="1"/>
    </xf>
    <xf numFmtId="175" fontId="12" fillId="4" borderId="6" xfId="0" applyNumberFormat="1" applyFont="1" applyFill="1" applyBorder="1" applyAlignment="1" applyProtection="1">
      <alignment horizontal="center" vertical="center"/>
      <protection hidden="1"/>
    </xf>
    <xf numFmtId="2" fontId="33" fillId="4" borderId="0" xfId="0" applyNumberFormat="1" applyFont="1" applyFill="1" applyAlignment="1" applyProtection="1">
      <alignment horizontal="left" vertical="center"/>
      <protection hidden="1"/>
    </xf>
    <xf numFmtId="2" fontId="7" fillId="4" borderId="0" xfId="0" applyNumberFormat="1" applyFont="1" applyFill="1" applyAlignment="1" applyProtection="1">
      <alignment horizontal="center" vertical="center"/>
      <protection hidden="1"/>
    </xf>
    <xf numFmtId="0" fontId="12" fillId="4" borderId="0" xfId="0" applyFont="1" applyFill="1" applyAlignment="1" applyProtection="1">
      <alignment horizontal="left" vertical="center"/>
      <protection hidden="1"/>
    </xf>
    <xf numFmtId="0" fontId="37" fillId="4" borderId="0" xfId="0" applyFont="1" applyFill="1" applyAlignment="1">
      <alignment horizontal="left" vertical="center"/>
    </xf>
    <xf numFmtId="0" fontId="5" fillId="0" borderId="0" xfId="0" applyFont="1"/>
    <xf numFmtId="0" fontId="5" fillId="0" borderId="0" xfId="0" applyFont="1" applyAlignment="1">
      <alignment horizontal="center" wrapText="1"/>
    </xf>
    <xf numFmtId="0" fontId="5" fillId="0" borderId="0" xfId="0" applyFont="1" applyAlignment="1">
      <alignment wrapText="1"/>
    </xf>
    <xf numFmtId="0" fontId="5" fillId="0" borderId="0" xfId="0" applyFont="1" applyAlignment="1">
      <alignment horizontal="center"/>
    </xf>
    <xf numFmtId="0" fontId="0" fillId="0" borderId="0" xfId="0" applyAlignment="1">
      <alignment horizontal="center"/>
    </xf>
    <xf numFmtId="1" fontId="0" fillId="0" borderId="0" xfId="0" applyNumberFormat="1" applyAlignment="1">
      <alignment vertical="center"/>
    </xf>
    <xf numFmtId="0" fontId="0" fillId="0" borderId="0" xfId="0" applyAlignment="1">
      <alignment vertical="center"/>
    </xf>
    <xf numFmtId="0" fontId="4" fillId="0" borderId="0" xfId="0" applyFont="1" applyAlignment="1">
      <alignment horizontal="center"/>
    </xf>
    <xf numFmtId="0" fontId="4" fillId="0" borderId="0" xfId="0" applyFont="1" applyAlignment="1">
      <alignment vertical="center"/>
    </xf>
    <xf numFmtId="0" fontId="5" fillId="0" borderId="0" xfId="0" applyFont="1" applyAlignment="1">
      <alignment horizontal="left"/>
    </xf>
    <xf numFmtId="0" fontId="0" fillId="0" borderId="0" xfId="0" applyAlignment="1">
      <alignment horizontal="left"/>
    </xf>
    <xf numFmtId="167" fontId="0" fillId="0" borderId="0" xfId="0" applyNumberFormat="1"/>
    <xf numFmtId="0" fontId="5" fillId="0" borderId="0" xfId="0" applyFont="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left" vertical="center" wrapText="1"/>
    </xf>
    <xf numFmtId="0" fontId="5" fillId="0" borderId="0" xfId="0" applyFont="1" applyAlignment="1">
      <alignment vertical="center" wrapText="1"/>
    </xf>
    <xf numFmtId="0" fontId="4" fillId="0" borderId="0" xfId="0" applyFont="1" applyAlignment="1">
      <alignment vertical="center" wrapText="1"/>
    </xf>
    <xf numFmtId="0" fontId="0" fillId="0" borderId="0" xfId="0" applyAlignment="1">
      <alignment vertical="center" wrapText="1"/>
    </xf>
    <xf numFmtId="0" fontId="5" fillId="0" borderId="0" xfId="0" applyFont="1" applyAlignment="1">
      <alignment vertical="center"/>
    </xf>
    <xf numFmtId="0" fontId="24" fillId="4" borderId="30" xfId="0" applyFont="1" applyFill="1" applyBorder="1" applyAlignment="1" applyProtection="1">
      <alignment horizontal="center" vertical="center"/>
      <protection hidden="1"/>
    </xf>
    <xf numFmtId="0" fontId="24" fillId="4" borderId="31" xfId="0" applyFont="1" applyFill="1" applyBorder="1" applyAlignment="1" applyProtection="1">
      <alignment horizontal="center" vertical="center"/>
      <protection hidden="1"/>
    </xf>
    <xf numFmtId="165" fontId="21" fillId="6" borderId="11" xfId="0" applyNumberFormat="1" applyFont="1" applyFill="1" applyBorder="1" applyAlignment="1" applyProtection="1">
      <alignment horizontal="center" vertical="center"/>
      <protection locked="0"/>
    </xf>
    <xf numFmtId="176" fontId="6" fillId="4" borderId="0" xfId="0" applyNumberFormat="1" applyFont="1" applyFill="1" applyAlignment="1">
      <alignment horizontal="center" vertical="center"/>
    </xf>
    <xf numFmtId="167" fontId="6" fillId="4" borderId="0" xfId="0" applyNumberFormat="1" applyFont="1" applyFill="1" applyAlignment="1">
      <alignment horizontal="center" vertical="center"/>
    </xf>
    <xf numFmtId="0" fontId="41" fillId="4" borderId="3" xfId="0" applyFont="1" applyFill="1" applyBorder="1" applyAlignment="1" applyProtection="1">
      <alignment vertical="center"/>
      <protection hidden="1"/>
    </xf>
    <xf numFmtId="0" fontId="11" fillId="4" borderId="14" xfId="0" applyFont="1" applyFill="1" applyBorder="1" applyAlignment="1" applyProtection="1">
      <alignment vertical="center"/>
      <protection hidden="1"/>
    </xf>
    <xf numFmtId="0" fontId="4" fillId="4" borderId="15" xfId="0" applyFont="1" applyFill="1" applyBorder="1" applyAlignment="1" applyProtection="1">
      <alignment horizontal="center" vertical="center" wrapText="1"/>
      <protection hidden="1"/>
    </xf>
    <xf numFmtId="0" fontId="4" fillId="4" borderId="16" xfId="0" applyFont="1" applyFill="1" applyBorder="1" applyAlignment="1" applyProtection="1">
      <alignment vertical="center"/>
      <protection hidden="1"/>
    </xf>
    <xf numFmtId="167" fontId="12" fillId="4" borderId="17" xfId="0" applyNumberFormat="1" applyFont="1" applyFill="1" applyBorder="1" applyAlignment="1" applyProtection="1">
      <alignment horizontal="left" vertical="center"/>
      <protection hidden="1"/>
    </xf>
    <xf numFmtId="165" fontId="7" fillId="4" borderId="17" xfId="0" applyNumberFormat="1" applyFont="1" applyFill="1" applyBorder="1" applyAlignment="1" applyProtection="1">
      <alignment horizontal="left" vertical="center"/>
      <protection hidden="1"/>
    </xf>
    <xf numFmtId="2" fontId="33" fillId="4" borderId="17" xfId="0" applyNumberFormat="1" applyFont="1" applyFill="1" applyBorder="1" applyAlignment="1" applyProtection="1">
      <alignment horizontal="left" vertical="center"/>
      <protection hidden="1"/>
    </xf>
    <xf numFmtId="0" fontId="0" fillId="4" borderId="32" xfId="0" applyFill="1" applyBorder="1" applyAlignment="1" applyProtection="1">
      <alignment horizontal="left" vertical="center"/>
      <protection hidden="1"/>
    </xf>
    <xf numFmtId="0" fontId="0" fillId="4" borderId="17" xfId="0" applyFill="1" applyBorder="1" applyAlignment="1" applyProtection="1">
      <alignment horizontal="left"/>
      <protection hidden="1"/>
    </xf>
    <xf numFmtId="2" fontId="33" fillId="4" borderId="19" xfId="0" applyNumberFormat="1" applyFont="1" applyFill="1" applyBorder="1" applyAlignment="1" applyProtection="1">
      <alignment horizontal="left" vertical="center"/>
      <protection hidden="1"/>
    </xf>
    <xf numFmtId="0" fontId="0" fillId="4" borderId="25" xfId="0" applyFill="1" applyBorder="1" applyAlignment="1" applyProtection="1">
      <alignment vertical="center"/>
      <protection hidden="1"/>
    </xf>
    <xf numFmtId="0" fontId="0" fillId="4" borderId="25" xfId="0" applyFill="1" applyBorder="1" applyProtection="1">
      <protection hidden="1"/>
    </xf>
    <xf numFmtId="0" fontId="0" fillId="4" borderId="26" xfId="0" applyFill="1" applyBorder="1" applyProtection="1">
      <protection hidden="1"/>
    </xf>
    <xf numFmtId="165" fontId="19" fillId="12" borderId="11" xfId="0" applyNumberFormat="1" applyFont="1" applyFill="1" applyBorder="1" applyAlignment="1" applyProtection="1">
      <alignment horizontal="center" vertical="center"/>
      <protection locked="0"/>
    </xf>
    <xf numFmtId="0" fontId="19" fillId="12" borderId="11" xfId="0" applyFont="1" applyFill="1" applyBorder="1" applyAlignment="1" applyProtection="1">
      <alignment horizontal="center" vertical="center"/>
      <protection locked="0"/>
    </xf>
    <xf numFmtId="168" fontId="19" fillId="12" borderId="11" xfId="0" applyNumberFormat="1" applyFont="1" applyFill="1" applyBorder="1" applyAlignment="1" applyProtection="1">
      <alignment horizontal="center" vertical="center"/>
      <protection locked="0"/>
    </xf>
    <xf numFmtId="165" fontId="21" fillId="11" borderId="11" xfId="0" applyNumberFormat="1" applyFont="1" applyFill="1" applyBorder="1" applyAlignment="1" applyProtection="1">
      <alignment horizontal="center" vertical="center"/>
      <protection locked="0"/>
    </xf>
    <xf numFmtId="167" fontId="42" fillId="4" borderId="11" xfId="0" applyNumberFormat="1" applyFont="1" applyFill="1" applyBorder="1" applyAlignment="1" applyProtection="1">
      <alignment horizontal="center" vertical="center"/>
      <protection locked="0"/>
    </xf>
    <xf numFmtId="172" fontId="19" fillId="12" borderId="12" xfId="0" applyNumberFormat="1" applyFont="1" applyFill="1" applyBorder="1" applyAlignment="1" applyProtection="1">
      <alignment horizontal="center" vertical="center"/>
      <protection locked="0"/>
    </xf>
    <xf numFmtId="173" fontId="19" fillId="12" borderId="13" xfId="0" applyNumberFormat="1" applyFont="1" applyFill="1" applyBorder="1" applyAlignment="1" applyProtection="1">
      <alignment horizontal="center" vertical="center"/>
      <protection locked="0"/>
    </xf>
    <xf numFmtId="176" fontId="19" fillId="12" borderId="23" xfId="0" applyNumberFormat="1" applyFont="1" applyFill="1" applyBorder="1" applyAlignment="1" applyProtection="1">
      <alignment horizontal="center" vertical="center"/>
      <protection locked="0"/>
    </xf>
    <xf numFmtId="175" fontId="13" fillId="12" borderId="15" xfId="0" applyNumberFormat="1" applyFont="1" applyFill="1" applyBorder="1" applyAlignment="1" applyProtection="1">
      <alignment horizontal="center" vertical="center"/>
      <protection hidden="1"/>
    </xf>
    <xf numFmtId="175" fontId="13" fillId="12" borderId="16" xfId="0" applyNumberFormat="1" applyFont="1" applyFill="1" applyBorder="1" applyAlignment="1" applyProtection="1">
      <alignment horizontal="center" vertical="center"/>
      <protection hidden="1"/>
    </xf>
    <xf numFmtId="172" fontId="13" fillId="12" borderId="0" xfId="0" applyNumberFormat="1" applyFont="1" applyFill="1" applyAlignment="1" applyProtection="1">
      <alignment horizontal="center" vertical="center"/>
      <protection hidden="1"/>
    </xf>
    <xf numFmtId="172" fontId="13" fillId="12" borderId="18" xfId="0" applyNumberFormat="1" applyFont="1" applyFill="1" applyBorder="1" applyAlignment="1" applyProtection="1">
      <alignment horizontal="center" vertical="center"/>
      <protection hidden="1"/>
    </xf>
    <xf numFmtId="182" fontId="12" fillId="12" borderId="0" xfId="0" applyNumberFormat="1" applyFont="1" applyFill="1" applyAlignment="1" applyProtection="1">
      <alignment horizontal="center" vertical="center"/>
      <protection hidden="1"/>
    </xf>
    <xf numFmtId="182" fontId="12" fillId="12" borderId="18" xfId="0" applyNumberFormat="1" applyFont="1" applyFill="1" applyBorder="1" applyAlignment="1" applyProtection="1">
      <alignment horizontal="center" vertical="center"/>
      <protection hidden="1"/>
    </xf>
    <xf numFmtId="181" fontId="12" fillId="12" borderId="0" xfId="0" applyNumberFormat="1" applyFont="1" applyFill="1" applyAlignment="1" applyProtection="1">
      <alignment horizontal="center" vertical="center"/>
      <protection hidden="1"/>
    </xf>
    <xf numFmtId="181" fontId="12" fillId="12" borderId="18" xfId="0" applyNumberFormat="1" applyFont="1" applyFill="1" applyBorder="1" applyAlignment="1" applyProtection="1">
      <alignment horizontal="center" vertical="center"/>
      <protection hidden="1"/>
    </xf>
    <xf numFmtId="183" fontId="12" fillId="12" borderId="0" xfId="0" applyNumberFormat="1" applyFont="1" applyFill="1" applyAlignment="1" applyProtection="1">
      <alignment horizontal="center" vertical="center"/>
      <protection hidden="1"/>
    </xf>
    <xf numFmtId="183" fontId="12" fillId="12" borderId="18" xfId="0" applyNumberFormat="1" applyFont="1" applyFill="1" applyBorder="1" applyAlignment="1" applyProtection="1">
      <alignment horizontal="center" vertical="center"/>
      <protection hidden="1"/>
    </xf>
    <xf numFmtId="183" fontId="12" fillId="12" borderId="20" xfId="0" applyNumberFormat="1" applyFont="1" applyFill="1" applyBorder="1" applyAlignment="1" applyProtection="1">
      <alignment horizontal="center" vertical="center"/>
      <protection hidden="1"/>
    </xf>
    <xf numFmtId="183" fontId="12" fillId="12" borderId="21" xfId="0" applyNumberFormat="1" applyFont="1" applyFill="1" applyBorder="1" applyAlignment="1" applyProtection="1">
      <alignment horizontal="center" vertical="center"/>
      <protection hidden="1"/>
    </xf>
    <xf numFmtId="174" fontId="0" fillId="4" borderId="0" xfId="0" applyNumberFormat="1" applyFill="1" applyAlignment="1" applyProtection="1">
      <alignment vertical="center"/>
      <protection hidden="1"/>
    </xf>
    <xf numFmtId="165" fontId="19" fillId="12" borderId="8" xfId="0" applyNumberFormat="1" applyFont="1" applyFill="1" applyBorder="1" applyAlignment="1" applyProtection="1">
      <alignment horizontal="center" vertical="center"/>
      <protection locked="0"/>
    </xf>
    <xf numFmtId="0" fontId="0" fillId="13" borderId="0" xfId="0" applyFill="1" applyProtection="1">
      <protection hidden="1"/>
    </xf>
    <xf numFmtId="0" fontId="4" fillId="4" borderId="3" xfId="0" applyFont="1" applyFill="1" applyBorder="1" applyAlignment="1" applyProtection="1">
      <alignment vertical="center"/>
      <protection hidden="1"/>
    </xf>
    <xf numFmtId="0" fontId="0" fillId="4" borderId="2" xfId="0" applyFill="1" applyBorder="1" applyAlignment="1">
      <alignment vertical="center"/>
    </xf>
    <xf numFmtId="0" fontId="0" fillId="4" borderId="4" xfId="0" applyFill="1" applyBorder="1" applyAlignment="1">
      <alignment vertical="center"/>
    </xf>
    <xf numFmtId="173" fontId="21" fillId="0" borderId="0" xfId="0" applyNumberFormat="1" applyFont="1" applyAlignment="1" applyProtection="1">
      <alignment horizontal="center" vertical="center"/>
      <protection hidden="1"/>
    </xf>
    <xf numFmtId="0" fontId="12" fillId="4" borderId="4" xfId="0" applyFont="1" applyFill="1" applyBorder="1" applyAlignment="1">
      <alignment vertical="center" wrapText="1"/>
    </xf>
    <xf numFmtId="0" fontId="24" fillId="4" borderId="0" xfId="0" applyFont="1" applyFill="1" applyAlignment="1" applyProtection="1">
      <alignment horizontal="center" vertical="center"/>
      <protection hidden="1"/>
    </xf>
    <xf numFmtId="0" fontId="24" fillId="4" borderId="13" xfId="0" applyFont="1" applyFill="1" applyBorder="1" applyAlignment="1" applyProtection="1">
      <alignment horizontal="center" vertical="center"/>
      <protection hidden="1"/>
    </xf>
    <xf numFmtId="165" fontId="11" fillId="4" borderId="0" xfId="0" applyNumberFormat="1" applyFont="1" applyFill="1" applyAlignment="1" applyProtection="1">
      <alignment horizontal="center" vertical="center"/>
      <protection hidden="1"/>
    </xf>
    <xf numFmtId="174" fontId="12" fillId="4" borderId="0" xfId="0" applyNumberFormat="1" applyFont="1" applyFill="1" applyAlignment="1" applyProtection="1">
      <alignment horizontal="center" vertical="center"/>
      <protection hidden="1"/>
    </xf>
    <xf numFmtId="168" fontId="12" fillId="4" borderId="0" xfId="0" applyNumberFormat="1" applyFont="1" applyFill="1" applyAlignment="1" applyProtection="1">
      <alignment horizontal="center" vertical="center"/>
      <protection hidden="1"/>
    </xf>
    <xf numFmtId="165" fontId="30" fillId="4" borderId="0" xfId="0" applyNumberFormat="1" applyFont="1" applyFill="1" applyAlignment="1" applyProtection="1">
      <alignment horizontal="center" vertical="center"/>
      <protection hidden="1"/>
    </xf>
    <xf numFmtId="165" fontId="10" fillId="4" borderId="0" xfId="0" applyNumberFormat="1" applyFont="1" applyFill="1" applyAlignment="1" applyProtection="1">
      <alignment horizontal="center" vertical="center"/>
      <protection hidden="1"/>
    </xf>
    <xf numFmtId="178" fontId="12" fillId="4" borderId="0" xfId="0" applyNumberFormat="1" applyFont="1" applyFill="1" applyAlignment="1" applyProtection="1">
      <alignment horizontal="center" vertical="center"/>
      <protection hidden="1"/>
    </xf>
    <xf numFmtId="174" fontId="13" fillId="4" borderId="0" xfId="0" applyNumberFormat="1" applyFont="1" applyFill="1" applyAlignment="1" applyProtection="1">
      <alignment horizontal="center" vertical="center"/>
      <protection hidden="1"/>
    </xf>
    <xf numFmtId="172" fontId="13" fillId="4" borderId="4" xfId="0" applyNumberFormat="1" applyFont="1" applyFill="1" applyBorder="1" applyAlignment="1" applyProtection="1">
      <alignment horizontal="center" vertical="center"/>
      <protection hidden="1"/>
    </xf>
    <xf numFmtId="167" fontId="3" fillId="3" borderId="4" xfId="3" applyNumberFormat="1" applyBorder="1" applyAlignment="1" applyProtection="1">
      <alignment horizontal="center" vertical="center"/>
      <protection hidden="1"/>
    </xf>
    <xf numFmtId="167" fontId="12" fillId="4" borderId="6" xfId="0" applyNumberFormat="1" applyFont="1" applyFill="1" applyBorder="1" applyAlignment="1" applyProtection="1">
      <alignment horizontal="center" vertical="center"/>
      <protection hidden="1"/>
    </xf>
    <xf numFmtId="0" fontId="5" fillId="4" borderId="8" xfId="0" applyFont="1" applyFill="1" applyBorder="1" applyAlignment="1">
      <alignment vertical="center"/>
    </xf>
    <xf numFmtId="0" fontId="44" fillId="4" borderId="11" xfId="0" applyFont="1" applyFill="1" applyBorder="1" applyAlignment="1">
      <alignment vertical="center" wrapText="1"/>
    </xf>
    <xf numFmtId="0" fontId="45" fillId="4" borderId="11" xfId="0" applyFont="1" applyFill="1" applyBorder="1" applyAlignment="1" applyProtection="1">
      <alignment vertical="center"/>
      <protection hidden="1"/>
    </xf>
    <xf numFmtId="0" fontId="43" fillId="4" borderId="11" xfId="0" applyFont="1" applyFill="1" applyBorder="1" applyAlignment="1" applyProtection="1">
      <alignment vertical="center"/>
      <protection hidden="1"/>
    </xf>
    <xf numFmtId="0" fontId="44" fillId="4" borderId="11" xfId="0" applyFont="1" applyFill="1" applyBorder="1" applyAlignment="1">
      <alignment horizontal="left" vertical="center"/>
    </xf>
    <xf numFmtId="167" fontId="44" fillId="4" borderId="11" xfId="0" applyNumberFormat="1" applyFont="1" applyFill="1" applyBorder="1" applyAlignment="1" applyProtection="1">
      <alignment horizontal="left" vertical="center"/>
      <protection hidden="1"/>
    </xf>
    <xf numFmtId="167" fontId="47" fillId="4" borderId="11" xfId="0" applyNumberFormat="1" applyFont="1" applyFill="1" applyBorder="1" applyAlignment="1" applyProtection="1">
      <alignment vertical="center"/>
      <protection hidden="1"/>
    </xf>
    <xf numFmtId="0" fontId="44" fillId="4" borderId="23" xfId="0" applyFont="1" applyFill="1" applyBorder="1" applyAlignment="1" applyProtection="1">
      <alignment vertical="top" wrapText="1"/>
      <protection hidden="1"/>
    </xf>
    <xf numFmtId="0" fontId="44" fillId="4" borderId="11" xfId="0" applyFont="1" applyFill="1" applyBorder="1" applyAlignment="1" applyProtection="1">
      <alignment vertical="top" wrapText="1"/>
      <protection hidden="1"/>
    </xf>
    <xf numFmtId="0" fontId="43" fillId="4" borderId="11" xfId="0" applyFont="1" applyFill="1" applyBorder="1" applyAlignment="1" applyProtection="1">
      <alignment horizontal="left" vertical="center"/>
      <protection hidden="1"/>
    </xf>
    <xf numFmtId="165" fontId="43" fillId="4" borderId="11" xfId="0" applyNumberFormat="1" applyFont="1" applyFill="1" applyBorder="1" applyAlignment="1" applyProtection="1">
      <alignment horizontal="left" vertical="center"/>
      <protection hidden="1"/>
    </xf>
    <xf numFmtId="2" fontId="44" fillId="4" borderId="11" xfId="0" applyNumberFormat="1" applyFont="1" applyFill="1" applyBorder="1" applyAlignment="1" applyProtection="1">
      <alignment horizontal="left" vertical="center"/>
      <protection hidden="1"/>
    </xf>
    <xf numFmtId="2" fontId="48" fillId="3" borderId="11" xfId="3" applyNumberFormat="1" applyFont="1" applyBorder="1" applyAlignment="1" applyProtection="1">
      <alignment horizontal="left" vertical="center"/>
      <protection hidden="1"/>
    </xf>
    <xf numFmtId="0" fontId="43" fillId="4" borderId="11" xfId="0" applyFont="1" applyFill="1" applyBorder="1" applyProtection="1">
      <protection hidden="1"/>
    </xf>
    <xf numFmtId="0" fontId="43" fillId="4" borderId="8" xfId="0" applyFont="1" applyFill="1" applyBorder="1" applyAlignment="1" applyProtection="1">
      <alignment horizontal="left" vertical="center"/>
      <protection hidden="1"/>
    </xf>
    <xf numFmtId="165" fontId="49" fillId="4" borderId="11" xfId="0" applyNumberFormat="1" applyFont="1" applyFill="1" applyBorder="1" applyAlignment="1" applyProtection="1">
      <alignment horizontal="left" vertical="center"/>
      <protection hidden="1"/>
    </xf>
    <xf numFmtId="165" fontId="50" fillId="4" borderId="11" xfId="0" applyNumberFormat="1" applyFont="1" applyFill="1" applyBorder="1" applyAlignment="1" applyProtection="1">
      <alignment horizontal="left" vertical="center"/>
      <protection hidden="1"/>
    </xf>
    <xf numFmtId="2" fontId="49" fillId="4" borderId="11" xfId="0" applyNumberFormat="1" applyFont="1" applyFill="1" applyBorder="1" applyAlignment="1" applyProtection="1">
      <alignment horizontal="left" vertical="center"/>
      <protection hidden="1"/>
    </xf>
    <xf numFmtId="0" fontId="44" fillId="4" borderId="11" xfId="0" applyFont="1" applyFill="1" applyBorder="1" applyAlignment="1" applyProtection="1">
      <alignment horizontal="left" vertical="center"/>
      <protection hidden="1"/>
    </xf>
    <xf numFmtId="0" fontId="47" fillId="4" borderId="11" xfId="0" applyFont="1" applyFill="1" applyBorder="1" applyAlignment="1" applyProtection="1">
      <alignment vertical="center" wrapText="1"/>
      <protection hidden="1"/>
    </xf>
    <xf numFmtId="165" fontId="21" fillId="11" borderId="11" xfId="0" applyNumberFormat="1" applyFont="1" applyFill="1" applyBorder="1" applyAlignment="1">
      <alignment horizontal="center" vertical="center"/>
    </xf>
    <xf numFmtId="165" fontId="21" fillId="11" borderId="8" xfId="0" applyNumberFormat="1" applyFont="1" applyFill="1" applyBorder="1" applyAlignment="1">
      <alignment horizontal="center" vertical="center"/>
    </xf>
    <xf numFmtId="168" fontId="21" fillId="11" borderId="11" xfId="0" applyNumberFormat="1" applyFont="1" applyFill="1" applyBorder="1" applyAlignment="1">
      <alignment horizontal="center" vertical="center"/>
    </xf>
    <xf numFmtId="0" fontId="52" fillId="4" borderId="3" xfId="0" applyFont="1" applyFill="1" applyBorder="1" applyAlignment="1" applyProtection="1">
      <alignment vertical="center" wrapText="1"/>
      <protection hidden="1"/>
    </xf>
    <xf numFmtId="165" fontId="53" fillId="4" borderId="0" xfId="0" applyNumberFormat="1" applyFont="1" applyFill="1" applyAlignment="1" applyProtection="1">
      <alignment horizontal="center" vertical="center"/>
      <protection hidden="1"/>
    </xf>
    <xf numFmtId="167" fontId="44" fillId="4" borderId="23" xfId="0" applyNumberFormat="1" applyFont="1" applyFill="1" applyBorder="1" applyAlignment="1" applyProtection="1">
      <alignment horizontal="left" vertical="center"/>
      <protection hidden="1"/>
    </xf>
    <xf numFmtId="165" fontId="23" fillId="4" borderId="11" xfId="0" applyNumberFormat="1" applyFont="1" applyFill="1" applyBorder="1" applyAlignment="1" applyProtection="1">
      <alignment horizontal="center" vertical="center"/>
      <protection locked="0"/>
    </xf>
    <xf numFmtId="0" fontId="4" fillId="4" borderId="0" xfId="0" applyFont="1" applyFill="1" applyAlignment="1" applyProtection="1">
      <alignment horizontal="center" vertical="center"/>
      <protection hidden="1"/>
    </xf>
    <xf numFmtId="0" fontId="4" fillId="4" borderId="0" xfId="0" applyFont="1" applyFill="1" applyAlignment="1" applyProtection="1">
      <alignment vertical="center"/>
      <protection hidden="1"/>
    </xf>
    <xf numFmtId="165" fontId="11" fillId="4" borderId="0" xfId="0" applyNumberFormat="1" applyFont="1" applyFill="1" applyAlignment="1" applyProtection="1">
      <alignment vertical="center"/>
      <protection hidden="1"/>
    </xf>
    <xf numFmtId="165" fontId="4" fillId="4" borderId="0" xfId="2" applyNumberFormat="1" applyFont="1" applyFill="1" applyAlignment="1" applyProtection="1">
      <alignment vertical="center"/>
      <protection hidden="1"/>
    </xf>
    <xf numFmtId="167" fontId="44" fillId="4" borderId="11" xfId="0" applyNumberFormat="1" applyFont="1" applyFill="1" applyBorder="1" applyAlignment="1" applyProtection="1">
      <alignment horizontal="left" vertical="center" wrapText="1"/>
      <protection hidden="1"/>
    </xf>
    <xf numFmtId="0" fontId="4" fillId="13" borderId="0" xfId="0" applyFont="1" applyFill="1" applyAlignment="1">
      <alignment horizontal="center"/>
    </xf>
    <xf numFmtId="0" fontId="0" fillId="0" borderId="0" xfId="0" quotePrefix="1" applyAlignment="1">
      <alignment horizontal="center"/>
    </xf>
    <xf numFmtId="0" fontId="0" fillId="14" borderId="0" xfId="0" quotePrefix="1" applyFill="1" applyAlignment="1">
      <alignment horizontal="center"/>
    </xf>
    <xf numFmtId="0" fontId="0" fillId="14" borderId="0" xfId="0" applyFill="1"/>
    <xf numFmtId="0" fontId="38" fillId="0" borderId="0" xfId="4" applyFont="1" applyAlignment="1" applyProtection="1">
      <alignment horizontal="left" vertical="top" wrapText="1"/>
      <protection hidden="1"/>
    </xf>
    <xf numFmtId="0" fontId="47" fillId="0" borderId="0" xfId="0" applyFont="1" applyAlignment="1" applyProtection="1">
      <alignment horizontal="left" vertical="center" wrapText="1"/>
      <protection hidden="1"/>
    </xf>
    <xf numFmtId="0" fontId="0" fillId="4" borderId="22" xfId="0" applyFill="1" applyBorder="1" applyAlignment="1">
      <alignment horizontal="center" vertical="center"/>
    </xf>
    <xf numFmtId="0" fontId="0" fillId="4" borderId="16" xfId="0" applyFill="1" applyBorder="1" applyAlignment="1">
      <alignment horizontal="center" vertical="center"/>
    </xf>
    <xf numFmtId="0" fontId="6" fillId="4" borderId="7"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2" fontId="24" fillId="4" borderId="7" xfId="0" applyNumberFormat="1" applyFont="1" applyFill="1" applyBorder="1" applyAlignment="1" applyProtection="1">
      <alignment horizontal="center" vertical="center"/>
      <protection hidden="1"/>
    </xf>
    <xf numFmtId="2" fontId="24" fillId="4" borderId="2" xfId="0" applyNumberFormat="1" applyFont="1" applyFill="1" applyBorder="1" applyAlignment="1" applyProtection="1">
      <alignment horizontal="center" vertical="center"/>
      <protection hidden="1"/>
    </xf>
    <xf numFmtId="0" fontId="19" fillId="12" borderId="9" xfId="0" applyFont="1" applyFill="1" applyBorder="1" applyAlignment="1" applyProtection="1">
      <alignment horizontal="center" vertical="center"/>
      <protection locked="0"/>
    </xf>
    <xf numFmtId="0" fontId="19" fillId="12" borderId="10" xfId="0" applyFont="1" applyFill="1" applyBorder="1" applyAlignment="1" applyProtection="1">
      <alignment horizontal="center" vertical="center"/>
      <protection locked="0"/>
    </xf>
    <xf numFmtId="0" fontId="24" fillId="4" borderId="0" xfId="0" applyFont="1" applyFill="1" applyAlignment="1" applyProtection="1">
      <alignment horizontal="center"/>
      <protection hidden="1"/>
    </xf>
    <xf numFmtId="0" fontId="24" fillId="4" borderId="4" xfId="0" applyFont="1" applyFill="1" applyBorder="1" applyAlignment="1" applyProtection="1">
      <alignment horizontal="center"/>
      <protection hidden="1"/>
    </xf>
    <xf numFmtId="0" fontId="6" fillId="4" borderId="0" xfId="0" applyFont="1" applyFill="1" applyAlignment="1" applyProtection="1">
      <alignment horizontal="center" vertical="center"/>
      <protection hidden="1"/>
    </xf>
    <xf numFmtId="0" fontId="0" fillId="4" borderId="0" xfId="0" applyFill="1" applyAlignment="1">
      <alignment horizontal="center" vertical="center" wrapText="1"/>
    </xf>
    <xf numFmtId="0" fontId="27" fillId="4" borderId="0" xfId="0" applyFont="1" applyFill="1" applyAlignment="1">
      <alignment horizontal="center" vertical="center" wrapText="1"/>
    </xf>
    <xf numFmtId="0" fontId="4" fillId="0" borderId="0" xfId="0" applyFont="1" applyAlignment="1">
      <alignment horizontal="center" vertical="center" wrapText="1"/>
    </xf>
  </cellXfs>
  <cellStyles count="5">
    <cellStyle name="Good" xfId="2" builtinId="26"/>
    <cellStyle name="Neutral" xfId="3" builtinId="28"/>
    <cellStyle name="Normal" xfId="0" builtinId="0"/>
    <cellStyle name="Normale 2" xfId="4" xr:uid="{0E9E71EB-2D6C-447C-A82C-734B7D351C64}"/>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2.xml"/><Relationship Id="rId5" Type="http://schemas.openxmlformats.org/officeDocument/2006/relationships/styles" Target="styles.xml"/><Relationship Id="rId10" Type="http://schemas.openxmlformats.org/officeDocument/2006/relationships/customXml" Target="../customXml/item1.xml"/><Relationship Id="rId4" Type="http://schemas.openxmlformats.org/officeDocument/2006/relationships/theme" Target="theme/theme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810483</xdr:colOff>
      <xdr:row>9</xdr:row>
      <xdr:rowOff>484728</xdr:rowOff>
    </xdr:to>
    <xdr:pic>
      <xdr:nvPicPr>
        <xdr:cNvPr id="2" name="Picture 1" descr="Text&#10;&#10;Description automatically generated">
          <a:extLst>
            <a:ext uri="{FF2B5EF4-FFF2-40B4-BE49-F238E27FC236}">
              <a16:creationId xmlns:a16="http://schemas.microsoft.com/office/drawing/2014/main" id="{A7CF2613-1CF1-4312-88E2-4C61450A83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34458" cy="21344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24174</xdr:colOff>
      <xdr:row>6</xdr:row>
      <xdr:rowOff>68108</xdr:rowOff>
    </xdr:from>
    <xdr:to>
      <xdr:col>1</xdr:col>
      <xdr:colOff>1061547</xdr:colOff>
      <xdr:row>6</xdr:row>
      <xdr:rowOff>1110537</xdr:rowOff>
    </xdr:to>
    <xdr:pic>
      <xdr:nvPicPr>
        <xdr:cNvPr id="3" name="Picture 2" descr="Text&#10;&#10;Description automatically generated">
          <a:extLst>
            <a:ext uri="{FF2B5EF4-FFF2-40B4-BE49-F238E27FC236}">
              <a16:creationId xmlns:a16="http://schemas.microsoft.com/office/drawing/2014/main" id="{764CE923-6646-6941-AEF1-AFD155C80F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401" y="68108"/>
          <a:ext cx="1038008" cy="10456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9560</xdr:colOff>
      <xdr:row>59</xdr:row>
      <xdr:rowOff>259456</xdr:rowOff>
    </xdr:from>
    <xdr:to>
      <xdr:col>0</xdr:col>
      <xdr:colOff>501175</xdr:colOff>
      <xdr:row>62</xdr:row>
      <xdr:rowOff>69884</xdr:rowOff>
    </xdr:to>
    <xdr:pic>
      <xdr:nvPicPr>
        <xdr:cNvPr id="2" name="Picture 1">
          <a:extLst>
            <a:ext uri="{FF2B5EF4-FFF2-40B4-BE49-F238E27FC236}">
              <a16:creationId xmlns:a16="http://schemas.microsoft.com/office/drawing/2014/main" id="{6A388325-59CF-4974-A283-D69A85D88AEC}"/>
            </a:ext>
          </a:extLst>
        </xdr:cNvPr>
        <xdr:cNvPicPr>
          <a:picLocks noChangeAspect="1"/>
        </xdr:cNvPicPr>
      </xdr:nvPicPr>
      <xdr:blipFill>
        <a:blip xmlns:r="http://schemas.openxmlformats.org/officeDocument/2006/relationships" r:embed="rId1"/>
        <a:stretch>
          <a:fillRect/>
        </a:stretch>
      </xdr:blipFill>
      <xdr:spPr>
        <a:xfrm flipH="1">
          <a:off x="9560" y="11072236"/>
          <a:ext cx="489075" cy="773087"/>
        </a:xfrm>
        <a:prstGeom prst="rect">
          <a:avLst/>
        </a:prstGeom>
      </xdr:spPr>
    </xdr:pic>
    <xdr:clientData/>
  </xdr:twoCellAnchor>
  <xdr:twoCellAnchor editAs="oneCell">
    <xdr:from>
      <xdr:col>0</xdr:col>
      <xdr:colOff>76201</xdr:colOff>
      <xdr:row>61</xdr:row>
      <xdr:rowOff>50597</xdr:rowOff>
    </xdr:from>
    <xdr:to>
      <xdr:col>0</xdr:col>
      <xdr:colOff>647225</xdr:colOff>
      <xdr:row>63</xdr:row>
      <xdr:rowOff>840</xdr:rowOff>
    </xdr:to>
    <xdr:pic>
      <xdr:nvPicPr>
        <xdr:cNvPr id="3" name="Picture 2">
          <a:extLst>
            <a:ext uri="{FF2B5EF4-FFF2-40B4-BE49-F238E27FC236}">
              <a16:creationId xmlns:a16="http://schemas.microsoft.com/office/drawing/2014/main" id="{9C26A638-A8C3-48F1-92E1-1D803169CFCA}"/>
            </a:ext>
          </a:extLst>
        </xdr:cNvPr>
        <xdr:cNvPicPr>
          <a:picLocks noChangeAspect="1"/>
        </xdr:cNvPicPr>
      </xdr:nvPicPr>
      <xdr:blipFill rotWithShape="1">
        <a:blip xmlns:r="http://schemas.openxmlformats.org/officeDocument/2006/relationships" r:embed="rId2"/>
        <a:srcRect t="7761"/>
        <a:stretch/>
      </xdr:blipFill>
      <xdr:spPr>
        <a:xfrm>
          <a:off x="76201" y="11823497"/>
          <a:ext cx="571024" cy="586197"/>
        </a:xfrm>
        <a:prstGeom prst="rect">
          <a:avLst/>
        </a:prstGeom>
      </xdr:spPr>
    </xdr:pic>
    <xdr:clientData/>
  </xdr:twoCellAnchor>
  <xdr:twoCellAnchor editAs="oneCell">
    <xdr:from>
      <xdr:col>0</xdr:col>
      <xdr:colOff>119744</xdr:colOff>
      <xdr:row>40</xdr:row>
      <xdr:rowOff>0</xdr:rowOff>
    </xdr:from>
    <xdr:to>
      <xdr:col>0</xdr:col>
      <xdr:colOff>539469</xdr:colOff>
      <xdr:row>42</xdr:row>
      <xdr:rowOff>33496</xdr:rowOff>
    </xdr:to>
    <xdr:pic>
      <xdr:nvPicPr>
        <xdr:cNvPr id="4" name="Picture 3">
          <a:extLst>
            <a:ext uri="{FF2B5EF4-FFF2-40B4-BE49-F238E27FC236}">
              <a16:creationId xmlns:a16="http://schemas.microsoft.com/office/drawing/2014/main" id="{D07350AE-DBF1-489E-B4DF-A53B7035EB96}"/>
            </a:ext>
          </a:extLst>
        </xdr:cNvPr>
        <xdr:cNvPicPr>
          <a:picLocks noChangeAspect="1"/>
        </xdr:cNvPicPr>
      </xdr:nvPicPr>
      <xdr:blipFill>
        <a:blip xmlns:r="http://schemas.openxmlformats.org/officeDocument/2006/relationships" r:embed="rId3"/>
        <a:stretch>
          <a:fillRect/>
        </a:stretch>
      </xdr:blipFill>
      <xdr:spPr>
        <a:xfrm>
          <a:off x="119744" y="7341598"/>
          <a:ext cx="417185" cy="514192"/>
        </a:xfrm>
        <a:prstGeom prst="rect">
          <a:avLst/>
        </a:prstGeom>
      </xdr:spPr>
    </xdr:pic>
    <xdr:clientData/>
  </xdr:twoCellAnchor>
  <xdr:twoCellAnchor editAs="oneCell">
    <xdr:from>
      <xdr:col>0</xdr:col>
      <xdr:colOff>108857</xdr:colOff>
      <xdr:row>21</xdr:row>
      <xdr:rowOff>159205</xdr:rowOff>
    </xdr:from>
    <xdr:to>
      <xdr:col>0</xdr:col>
      <xdr:colOff>534763</xdr:colOff>
      <xdr:row>22</xdr:row>
      <xdr:rowOff>264818</xdr:rowOff>
    </xdr:to>
    <xdr:pic>
      <xdr:nvPicPr>
        <xdr:cNvPr id="5" name="Picture 4">
          <a:extLst>
            <a:ext uri="{FF2B5EF4-FFF2-40B4-BE49-F238E27FC236}">
              <a16:creationId xmlns:a16="http://schemas.microsoft.com/office/drawing/2014/main" id="{45A4D44D-39B3-4BF1-BE13-315B7AC7B672}"/>
            </a:ext>
          </a:extLst>
        </xdr:cNvPr>
        <xdr:cNvPicPr>
          <a:picLocks noChangeAspect="1"/>
        </xdr:cNvPicPr>
      </xdr:nvPicPr>
      <xdr:blipFill>
        <a:blip xmlns:r="http://schemas.openxmlformats.org/officeDocument/2006/relationships" r:embed="rId4"/>
        <a:stretch>
          <a:fillRect/>
        </a:stretch>
      </xdr:blipFill>
      <xdr:spPr>
        <a:xfrm>
          <a:off x="108857" y="6979105"/>
          <a:ext cx="425906" cy="340563"/>
        </a:xfrm>
        <a:prstGeom prst="rect">
          <a:avLst/>
        </a:prstGeom>
      </xdr:spPr>
    </xdr:pic>
    <xdr:clientData/>
  </xdr:twoCellAnchor>
  <xdr:twoCellAnchor editAs="oneCell">
    <xdr:from>
      <xdr:col>0</xdr:col>
      <xdr:colOff>28575</xdr:colOff>
      <xdr:row>22</xdr:row>
      <xdr:rowOff>152401</xdr:rowOff>
    </xdr:from>
    <xdr:to>
      <xdr:col>0</xdr:col>
      <xdr:colOff>642903</xdr:colOff>
      <xdr:row>23</xdr:row>
      <xdr:rowOff>101486</xdr:rowOff>
    </xdr:to>
    <xdr:pic>
      <xdr:nvPicPr>
        <xdr:cNvPr id="6" name="Picture 5">
          <a:extLst>
            <a:ext uri="{FF2B5EF4-FFF2-40B4-BE49-F238E27FC236}">
              <a16:creationId xmlns:a16="http://schemas.microsoft.com/office/drawing/2014/main" id="{D146EA30-F4C2-4256-9443-124F54401798}"/>
            </a:ext>
          </a:extLst>
        </xdr:cNvPr>
        <xdr:cNvPicPr>
          <a:picLocks noChangeAspect="1"/>
        </xdr:cNvPicPr>
      </xdr:nvPicPr>
      <xdr:blipFill>
        <a:blip xmlns:r="http://schemas.openxmlformats.org/officeDocument/2006/relationships" r:embed="rId5"/>
        <a:stretch>
          <a:fillRect/>
        </a:stretch>
      </xdr:blipFill>
      <xdr:spPr>
        <a:xfrm>
          <a:off x="28575" y="5113021"/>
          <a:ext cx="616868" cy="391680"/>
        </a:xfrm>
        <a:prstGeom prst="rect">
          <a:avLst/>
        </a:prstGeom>
      </xdr:spPr>
    </xdr:pic>
    <xdr:clientData/>
  </xdr:twoCellAnchor>
  <xdr:twoCellAnchor editAs="oneCell">
    <xdr:from>
      <xdr:col>0</xdr:col>
      <xdr:colOff>64771</xdr:colOff>
      <xdr:row>26</xdr:row>
      <xdr:rowOff>7620</xdr:rowOff>
    </xdr:from>
    <xdr:to>
      <xdr:col>0</xdr:col>
      <xdr:colOff>310682</xdr:colOff>
      <xdr:row>27</xdr:row>
      <xdr:rowOff>39141</xdr:rowOff>
    </xdr:to>
    <xdr:pic>
      <xdr:nvPicPr>
        <xdr:cNvPr id="7" name="Picture 6">
          <a:extLst>
            <a:ext uri="{FF2B5EF4-FFF2-40B4-BE49-F238E27FC236}">
              <a16:creationId xmlns:a16="http://schemas.microsoft.com/office/drawing/2014/main" id="{0254D912-B1F0-43CA-A01B-EE012ABCF074}"/>
            </a:ext>
          </a:extLst>
        </xdr:cNvPr>
        <xdr:cNvPicPr>
          <a:picLocks noChangeAspect="1"/>
        </xdr:cNvPicPr>
      </xdr:nvPicPr>
      <xdr:blipFill>
        <a:blip xmlns:r="http://schemas.openxmlformats.org/officeDocument/2006/relationships" r:embed="rId6"/>
        <a:stretch>
          <a:fillRect/>
        </a:stretch>
      </xdr:blipFill>
      <xdr:spPr>
        <a:xfrm>
          <a:off x="64771" y="4735830"/>
          <a:ext cx="243371" cy="263931"/>
        </a:xfrm>
        <a:prstGeom prst="rect">
          <a:avLst/>
        </a:prstGeom>
      </xdr:spPr>
    </xdr:pic>
    <xdr:clientData/>
  </xdr:twoCellAnchor>
  <xdr:twoCellAnchor editAs="oneCell">
    <xdr:from>
      <xdr:col>0</xdr:col>
      <xdr:colOff>32647</xdr:colOff>
      <xdr:row>28</xdr:row>
      <xdr:rowOff>95974</xdr:rowOff>
    </xdr:from>
    <xdr:to>
      <xdr:col>0</xdr:col>
      <xdr:colOff>457396</xdr:colOff>
      <xdr:row>29</xdr:row>
      <xdr:rowOff>120177</xdr:rowOff>
    </xdr:to>
    <xdr:pic>
      <xdr:nvPicPr>
        <xdr:cNvPr id="8" name="Picture 7">
          <a:extLst>
            <a:ext uri="{FF2B5EF4-FFF2-40B4-BE49-F238E27FC236}">
              <a16:creationId xmlns:a16="http://schemas.microsoft.com/office/drawing/2014/main" id="{AF205CAB-921D-47C5-AF88-52C492EC3CCD}"/>
            </a:ext>
          </a:extLst>
        </xdr:cNvPr>
        <xdr:cNvPicPr>
          <a:picLocks noChangeAspect="1"/>
        </xdr:cNvPicPr>
      </xdr:nvPicPr>
      <xdr:blipFill rotWithShape="1">
        <a:blip xmlns:r="http://schemas.openxmlformats.org/officeDocument/2006/relationships" r:embed="rId7"/>
        <a:srcRect l="12414" t="12325" b="13707"/>
        <a:stretch/>
      </xdr:blipFill>
      <xdr:spPr>
        <a:xfrm>
          <a:off x="32647" y="5521414"/>
          <a:ext cx="424749" cy="254073"/>
        </a:xfrm>
        <a:prstGeom prst="rect">
          <a:avLst/>
        </a:prstGeom>
      </xdr:spPr>
    </xdr:pic>
    <xdr:clientData/>
  </xdr:twoCellAnchor>
  <xdr:twoCellAnchor editAs="oneCell">
    <xdr:from>
      <xdr:col>0</xdr:col>
      <xdr:colOff>76200</xdr:colOff>
      <xdr:row>33</xdr:row>
      <xdr:rowOff>43882</xdr:rowOff>
    </xdr:from>
    <xdr:to>
      <xdr:col>0</xdr:col>
      <xdr:colOff>565716</xdr:colOff>
      <xdr:row>34</xdr:row>
      <xdr:rowOff>157917</xdr:rowOff>
    </xdr:to>
    <xdr:pic>
      <xdr:nvPicPr>
        <xdr:cNvPr id="9" name="Picture 8">
          <a:extLst>
            <a:ext uri="{FF2B5EF4-FFF2-40B4-BE49-F238E27FC236}">
              <a16:creationId xmlns:a16="http://schemas.microsoft.com/office/drawing/2014/main" id="{3812A494-6FE9-4AB7-BE5E-66C02B4A0D56}"/>
            </a:ext>
          </a:extLst>
        </xdr:cNvPr>
        <xdr:cNvPicPr>
          <a:picLocks noChangeAspect="1"/>
        </xdr:cNvPicPr>
      </xdr:nvPicPr>
      <xdr:blipFill>
        <a:blip xmlns:r="http://schemas.openxmlformats.org/officeDocument/2006/relationships" r:embed="rId8"/>
        <a:stretch>
          <a:fillRect/>
        </a:stretch>
      </xdr:blipFill>
      <xdr:spPr>
        <a:xfrm>
          <a:off x="76200" y="6166552"/>
          <a:ext cx="492056" cy="343905"/>
        </a:xfrm>
        <a:prstGeom prst="rect">
          <a:avLst/>
        </a:prstGeom>
      </xdr:spPr>
    </xdr:pic>
    <xdr:clientData/>
  </xdr:twoCellAnchor>
  <xdr:twoCellAnchor editAs="oneCell">
    <xdr:from>
      <xdr:col>0</xdr:col>
      <xdr:colOff>95250</xdr:colOff>
      <xdr:row>35</xdr:row>
      <xdr:rowOff>102870</xdr:rowOff>
    </xdr:from>
    <xdr:to>
      <xdr:col>0</xdr:col>
      <xdr:colOff>648403</xdr:colOff>
      <xdr:row>37</xdr:row>
      <xdr:rowOff>77018</xdr:rowOff>
    </xdr:to>
    <xdr:pic>
      <xdr:nvPicPr>
        <xdr:cNvPr id="10" name="Picture 9">
          <a:extLst>
            <a:ext uri="{FF2B5EF4-FFF2-40B4-BE49-F238E27FC236}">
              <a16:creationId xmlns:a16="http://schemas.microsoft.com/office/drawing/2014/main" id="{6061B4BB-BD5A-446B-A5A4-DC8BF8E07EE8}"/>
            </a:ext>
          </a:extLst>
        </xdr:cNvPr>
        <xdr:cNvPicPr>
          <a:picLocks noChangeAspect="1"/>
        </xdr:cNvPicPr>
      </xdr:nvPicPr>
      <xdr:blipFill>
        <a:blip xmlns:r="http://schemas.openxmlformats.org/officeDocument/2006/relationships" r:embed="rId9"/>
        <a:stretch>
          <a:fillRect/>
        </a:stretch>
      </xdr:blipFill>
      <xdr:spPr>
        <a:xfrm>
          <a:off x="95250" y="6457950"/>
          <a:ext cx="553153" cy="438967"/>
        </a:xfrm>
        <a:prstGeom prst="rect">
          <a:avLst/>
        </a:prstGeom>
      </xdr:spPr>
    </xdr:pic>
    <xdr:clientData/>
  </xdr:twoCellAnchor>
  <xdr:twoCellAnchor editAs="oneCell">
    <xdr:from>
      <xdr:col>0</xdr:col>
      <xdr:colOff>0</xdr:colOff>
      <xdr:row>40</xdr:row>
      <xdr:rowOff>0</xdr:rowOff>
    </xdr:from>
    <xdr:to>
      <xdr:col>0</xdr:col>
      <xdr:colOff>534329</xdr:colOff>
      <xdr:row>43</xdr:row>
      <xdr:rowOff>63107</xdr:rowOff>
    </xdr:to>
    <xdr:pic>
      <xdr:nvPicPr>
        <xdr:cNvPr id="11" name="Picture 10">
          <a:extLst>
            <a:ext uri="{FF2B5EF4-FFF2-40B4-BE49-F238E27FC236}">
              <a16:creationId xmlns:a16="http://schemas.microsoft.com/office/drawing/2014/main" id="{9357346B-0516-4CA1-A21F-A665024AB47A}"/>
            </a:ext>
          </a:extLst>
        </xdr:cNvPr>
        <xdr:cNvPicPr>
          <a:picLocks noChangeAspect="1"/>
        </xdr:cNvPicPr>
      </xdr:nvPicPr>
      <xdr:blipFill>
        <a:blip xmlns:r="http://schemas.openxmlformats.org/officeDocument/2006/relationships" r:embed="rId10"/>
        <a:stretch>
          <a:fillRect/>
        </a:stretch>
      </xdr:blipFill>
      <xdr:spPr>
        <a:xfrm>
          <a:off x="0" y="7800974"/>
          <a:ext cx="534329" cy="767003"/>
        </a:xfrm>
        <a:prstGeom prst="rect">
          <a:avLst/>
        </a:prstGeom>
      </xdr:spPr>
    </xdr:pic>
    <xdr:clientData/>
  </xdr:twoCellAnchor>
  <xdr:twoCellAnchor editAs="oneCell">
    <xdr:from>
      <xdr:col>0</xdr:col>
      <xdr:colOff>85724</xdr:colOff>
      <xdr:row>48</xdr:row>
      <xdr:rowOff>85725</xdr:rowOff>
    </xdr:from>
    <xdr:to>
      <xdr:col>0</xdr:col>
      <xdr:colOff>572429</xdr:colOff>
      <xdr:row>49</xdr:row>
      <xdr:rowOff>206732</xdr:rowOff>
    </xdr:to>
    <xdr:pic>
      <xdr:nvPicPr>
        <xdr:cNvPr id="12" name="Picture 11">
          <a:extLst>
            <a:ext uri="{FF2B5EF4-FFF2-40B4-BE49-F238E27FC236}">
              <a16:creationId xmlns:a16="http://schemas.microsoft.com/office/drawing/2014/main" id="{75ED5C24-1C2C-4013-8A44-E988BCB650BD}"/>
            </a:ext>
          </a:extLst>
        </xdr:cNvPr>
        <xdr:cNvPicPr>
          <a:picLocks noChangeAspect="1"/>
        </xdr:cNvPicPr>
      </xdr:nvPicPr>
      <xdr:blipFill rotWithShape="1">
        <a:blip xmlns:r="http://schemas.openxmlformats.org/officeDocument/2006/relationships" r:embed="rId11"/>
        <a:srcRect l="20262" t="17309" b="14879"/>
        <a:stretch/>
      </xdr:blipFill>
      <xdr:spPr>
        <a:xfrm>
          <a:off x="85724" y="8578215"/>
          <a:ext cx="486705" cy="350242"/>
        </a:xfrm>
        <a:prstGeom prst="rect">
          <a:avLst/>
        </a:prstGeom>
      </xdr:spPr>
    </xdr:pic>
    <xdr:clientData/>
  </xdr:twoCellAnchor>
  <xdr:twoCellAnchor editAs="oneCell">
    <xdr:from>
      <xdr:col>0</xdr:col>
      <xdr:colOff>36196</xdr:colOff>
      <xdr:row>49</xdr:row>
      <xdr:rowOff>212271</xdr:rowOff>
    </xdr:from>
    <xdr:to>
      <xdr:col>0</xdr:col>
      <xdr:colOff>648182</xdr:colOff>
      <xdr:row>51</xdr:row>
      <xdr:rowOff>108749</xdr:rowOff>
    </xdr:to>
    <xdr:pic>
      <xdr:nvPicPr>
        <xdr:cNvPr id="13" name="Picture 12">
          <a:extLst>
            <a:ext uri="{FF2B5EF4-FFF2-40B4-BE49-F238E27FC236}">
              <a16:creationId xmlns:a16="http://schemas.microsoft.com/office/drawing/2014/main" id="{416469C3-08CB-4312-AADE-70A6A4E71380}"/>
            </a:ext>
          </a:extLst>
        </xdr:cNvPr>
        <xdr:cNvPicPr>
          <a:picLocks noChangeAspect="1"/>
        </xdr:cNvPicPr>
      </xdr:nvPicPr>
      <xdr:blipFill rotWithShape="1">
        <a:blip xmlns:r="http://schemas.openxmlformats.org/officeDocument/2006/relationships" r:embed="rId12"/>
        <a:srcRect l="12585" t="18812" b="10891"/>
        <a:stretch/>
      </xdr:blipFill>
      <xdr:spPr>
        <a:xfrm>
          <a:off x="36196" y="8921931"/>
          <a:ext cx="611986" cy="333359"/>
        </a:xfrm>
        <a:prstGeom prst="rect">
          <a:avLst/>
        </a:prstGeom>
      </xdr:spPr>
    </xdr:pic>
    <xdr:clientData/>
  </xdr:twoCellAnchor>
  <xdr:twoCellAnchor editAs="oneCell">
    <xdr:from>
      <xdr:col>0</xdr:col>
      <xdr:colOff>76200</xdr:colOff>
      <xdr:row>44</xdr:row>
      <xdr:rowOff>70570</xdr:rowOff>
    </xdr:from>
    <xdr:to>
      <xdr:col>0</xdr:col>
      <xdr:colOff>643095</xdr:colOff>
      <xdr:row>45</xdr:row>
      <xdr:rowOff>152476</xdr:rowOff>
    </xdr:to>
    <xdr:pic>
      <xdr:nvPicPr>
        <xdr:cNvPr id="14" name="Picture 13">
          <a:extLst>
            <a:ext uri="{FF2B5EF4-FFF2-40B4-BE49-F238E27FC236}">
              <a16:creationId xmlns:a16="http://schemas.microsoft.com/office/drawing/2014/main" id="{0CC6D1D0-B796-4612-90A7-5EA44AC4CA9C}"/>
            </a:ext>
          </a:extLst>
        </xdr:cNvPr>
        <xdr:cNvPicPr>
          <a:picLocks noChangeAspect="1"/>
        </xdr:cNvPicPr>
      </xdr:nvPicPr>
      <xdr:blipFill>
        <a:blip xmlns:r="http://schemas.openxmlformats.org/officeDocument/2006/relationships" r:embed="rId13"/>
        <a:stretch>
          <a:fillRect/>
        </a:stretch>
      </xdr:blipFill>
      <xdr:spPr>
        <a:xfrm>
          <a:off x="76200" y="10346140"/>
          <a:ext cx="569435" cy="386706"/>
        </a:xfrm>
        <a:prstGeom prst="rect">
          <a:avLst/>
        </a:prstGeom>
      </xdr:spPr>
    </xdr:pic>
    <xdr:clientData/>
  </xdr:twoCellAnchor>
  <xdr:twoCellAnchor editAs="oneCell">
    <xdr:from>
      <xdr:col>0</xdr:col>
      <xdr:colOff>110720</xdr:colOff>
      <xdr:row>41</xdr:row>
      <xdr:rowOff>189558</xdr:rowOff>
    </xdr:from>
    <xdr:to>
      <xdr:col>0</xdr:col>
      <xdr:colOff>648179</xdr:colOff>
      <xdr:row>44</xdr:row>
      <xdr:rowOff>49056</xdr:rowOff>
    </xdr:to>
    <xdr:pic>
      <xdr:nvPicPr>
        <xdr:cNvPr id="15" name="Picture 14">
          <a:extLst>
            <a:ext uri="{FF2B5EF4-FFF2-40B4-BE49-F238E27FC236}">
              <a16:creationId xmlns:a16="http://schemas.microsoft.com/office/drawing/2014/main" id="{33ED7FEF-CAFF-4744-9582-04446DE38ABB}"/>
            </a:ext>
          </a:extLst>
        </xdr:cNvPr>
        <xdr:cNvPicPr>
          <a:picLocks noChangeAspect="1"/>
        </xdr:cNvPicPr>
      </xdr:nvPicPr>
      <xdr:blipFill>
        <a:blip xmlns:r="http://schemas.openxmlformats.org/officeDocument/2006/relationships" r:embed="rId14"/>
        <a:stretch>
          <a:fillRect/>
        </a:stretch>
      </xdr:blipFill>
      <xdr:spPr>
        <a:xfrm>
          <a:off x="110720" y="9333558"/>
          <a:ext cx="537459" cy="637374"/>
        </a:xfrm>
        <a:prstGeom prst="rect">
          <a:avLst/>
        </a:prstGeom>
      </xdr:spPr>
    </xdr:pic>
    <xdr:clientData/>
  </xdr:twoCellAnchor>
  <xdr:twoCellAnchor editAs="oneCell">
    <xdr:from>
      <xdr:col>0</xdr:col>
      <xdr:colOff>92424</xdr:colOff>
      <xdr:row>59</xdr:row>
      <xdr:rowOff>0</xdr:rowOff>
    </xdr:from>
    <xdr:to>
      <xdr:col>0</xdr:col>
      <xdr:colOff>680474</xdr:colOff>
      <xdr:row>60</xdr:row>
      <xdr:rowOff>38972</xdr:rowOff>
    </xdr:to>
    <xdr:pic>
      <xdr:nvPicPr>
        <xdr:cNvPr id="16" name="Picture 15">
          <a:extLst>
            <a:ext uri="{FF2B5EF4-FFF2-40B4-BE49-F238E27FC236}">
              <a16:creationId xmlns:a16="http://schemas.microsoft.com/office/drawing/2014/main" id="{49D02CCA-6FE8-4662-A8BB-6C15144C5341}"/>
            </a:ext>
          </a:extLst>
        </xdr:cNvPr>
        <xdr:cNvPicPr>
          <a:picLocks noChangeAspect="1"/>
        </xdr:cNvPicPr>
      </xdr:nvPicPr>
      <xdr:blipFill rotWithShape="1">
        <a:blip xmlns:r="http://schemas.openxmlformats.org/officeDocument/2006/relationships" r:embed="rId15"/>
        <a:srcRect t="7257" b="5812"/>
        <a:stretch/>
      </xdr:blipFill>
      <xdr:spPr>
        <a:xfrm>
          <a:off x="92424" y="10739239"/>
          <a:ext cx="590590" cy="343136"/>
        </a:xfrm>
        <a:prstGeom prst="rect">
          <a:avLst/>
        </a:prstGeom>
      </xdr:spPr>
    </xdr:pic>
    <xdr:clientData/>
  </xdr:twoCellAnchor>
  <xdr:twoCellAnchor editAs="oneCell">
    <xdr:from>
      <xdr:col>0</xdr:col>
      <xdr:colOff>125812</xdr:colOff>
      <xdr:row>44</xdr:row>
      <xdr:rowOff>0</xdr:rowOff>
    </xdr:from>
    <xdr:to>
      <xdr:col>0</xdr:col>
      <xdr:colOff>609236</xdr:colOff>
      <xdr:row>45</xdr:row>
      <xdr:rowOff>68916</xdr:rowOff>
    </xdr:to>
    <xdr:pic>
      <xdr:nvPicPr>
        <xdr:cNvPr id="17" name="Picture 16">
          <a:extLst>
            <a:ext uri="{FF2B5EF4-FFF2-40B4-BE49-F238E27FC236}">
              <a16:creationId xmlns:a16="http://schemas.microsoft.com/office/drawing/2014/main" id="{71FA65EA-1F62-4B79-9F67-8C59B0F6131A}"/>
            </a:ext>
          </a:extLst>
        </xdr:cNvPr>
        <xdr:cNvPicPr>
          <a:picLocks noChangeAspect="1"/>
        </xdr:cNvPicPr>
      </xdr:nvPicPr>
      <xdr:blipFill rotWithShape="1">
        <a:blip xmlns:r="http://schemas.openxmlformats.org/officeDocument/2006/relationships" r:embed="rId16"/>
        <a:srcRect l="5647" t="13239" r="10838" b="9278"/>
        <a:stretch/>
      </xdr:blipFill>
      <xdr:spPr>
        <a:xfrm>
          <a:off x="125812" y="10014566"/>
          <a:ext cx="483424" cy="374986"/>
        </a:xfrm>
        <a:prstGeom prst="rect">
          <a:avLst/>
        </a:prstGeom>
      </xdr:spPr>
    </xdr:pic>
    <xdr:clientData/>
  </xdr:twoCellAnchor>
  <xdr:twoCellAnchor editAs="oneCell">
    <xdr:from>
      <xdr:col>0</xdr:col>
      <xdr:colOff>295604</xdr:colOff>
      <xdr:row>26</xdr:row>
      <xdr:rowOff>153845</xdr:rowOff>
    </xdr:from>
    <xdr:to>
      <xdr:col>0</xdr:col>
      <xdr:colOff>572626</xdr:colOff>
      <xdr:row>27</xdr:row>
      <xdr:rowOff>185851</xdr:rowOff>
    </xdr:to>
    <xdr:pic>
      <xdr:nvPicPr>
        <xdr:cNvPr id="18" name="Picture 17">
          <a:extLst>
            <a:ext uri="{FF2B5EF4-FFF2-40B4-BE49-F238E27FC236}">
              <a16:creationId xmlns:a16="http://schemas.microsoft.com/office/drawing/2014/main" id="{7548DE41-70B8-4DC1-9407-756FF70D7740}"/>
            </a:ext>
          </a:extLst>
        </xdr:cNvPr>
        <xdr:cNvPicPr>
          <a:picLocks noChangeAspect="1"/>
        </xdr:cNvPicPr>
      </xdr:nvPicPr>
      <xdr:blipFill>
        <a:blip xmlns:r="http://schemas.openxmlformats.org/officeDocument/2006/relationships" r:embed="rId17"/>
        <a:stretch>
          <a:fillRect/>
        </a:stretch>
      </xdr:blipFill>
      <xdr:spPr>
        <a:xfrm>
          <a:off x="295604" y="4882055"/>
          <a:ext cx="277022" cy="266956"/>
        </a:xfrm>
        <a:prstGeom prst="rect">
          <a:avLst/>
        </a:prstGeom>
      </xdr:spPr>
    </xdr:pic>
    <xdr:clientData/>
  </xdr:twoCellAnchor>
  <xdr:twoCellAnchor editAs="oneCell">
    <xdr:from>
      <xdr:col>0</xdr:col>
      <xdr:colOff>222491</xdr:colOff>
      <xdr:row>29</xdr:row>
      <xdr:rowOff>105300</xdr:rowOff>
    </xdr:from>
    <xdr:to>
      <xdr:col>0</xdr:col>
      <xdr:colOff>603883</xdr:colOff>
      <xdr:row>31</xdr:row>
      <xdr:rowOff>32883</xdr:rowOff>
    </xdr:to>
    <xdr:pic>
      <xdr:nvPicPr>
        <xdr:cNvPr id="19" name="Picture 18">
          <a:extLst>
            <a:ext uri="{FF2B5EF4-FFF2-40B4-BE49-F238E27FC236}">
              <a16:creationId xmlns:a16="http://schemas.microsoft.com/office/drawing/2014/main" id="{658400FB-6203-4686-AD6C-AA01AD4FDB83}"/>
            </a:ext>
          </a:extLst>
        </xdr:cNvPr>
        <xdr:cNvPicPr>
          <a:picLocks noChangeAspect="1"/>
        </xdr:cNvPicPr>
      </xdr:nvPicPr>
      <xdr:blipFill rotWithShape="1">
        <a:blip xmlns:r="http://schemas.openxmlformats.org/officeDocument/2006/relationships" r:embed="rId18"/>
        <a:srcRect l="9287" t="8001"/>
        <a:stretch/>
      </xdr:blipFill>
      <xdr:spPr>
        <a:xfrm>
          <a:off x="222491" y="5763150"/>
          <a:ext cx="383932" cy="394943"/>
        </a:xfrm>
        <a:prstGeom prst="rect">
          <a:avLst/>
        </a:prstGeom>
      </xdr:spPr>
    </xdr:pic>
    <xdr:clientData/>
  </xdr:twoCellAnchor>
  <xdr:oneCellAnchor>
    <xdr:from>
      <xdr:col>0</xdr:col>
      <xdr:colOff>64771</xdr:colOff>
      <xdr:row>21</xdr:row>
      <xdr:rowOff>7620</xdr:rowOff>
    </xdr:from>
    <xdr:ext cx="243371" cy="263931"/>
    <xdr:pic>
      <xdr:nvPicPr>
        <xdr:cNvPr id="20" name="Picture 19">
          <a:extLst>
            <a:ext uri="{FF2B5EF4-FFF2-40B4-BE49-F238E27FC236}">
              <a16:creationId xmlns:a16="http://schemas.microsoft.com/office/drawing/2014/main" id="{1CBCB27A-3470-41BF-A1C7-4E74B066B274}"/>
            </a:ext>
          </a:extLst>
        </xdr:cNvPr>
        <xdr:cNvPicPr>
          <a:picLocks noChangeAspect="1"/>
        </xdr:cNvPicPr>
      </xdr:nvPicPr>
      <xdr:blipFill>
        <a:blip xmlns:r="http://schemas.openxmlformats.org/officeDocument/2006/relationships" r:embed="rId6"/>
        <a:stretch>
          <a:fillRect/>
        </a:stretch>
      </xdr:blipFill>
      <xdr:spPr>
        <a:xfrm>
          <a:off x="64771" y="4503420"/>
          <a:ext cx="243371" cy="263931"/>
        </a:xfrm>
        <a:prstGeom prst="rect">
          <a:avLst/>
        </a:prstGeom>
      </xdr:spPr>
    </xdr:pic>
    <xdr:clientData/>
  </xdr:oneCellAnchor>
  <xdr:oneCellAnchor>
    <xdr:from>
      <xdr:col>0</xdr:col>
      <xdr:colOff>295604</xdr:colOff>
      <xdr:row>21</xdr:row>
      <xdr:rowOff>153845</xdr:rowOff>
    </xdr:from>
    <xdr:ext cx="277022" cy="266956"/>
    <xdr:pic>
      <xdr:nvPicPr>
        <xdr:cNvPr id="21" name="Picture 20">
          <a:extLst>
            <a:ext uri="{FF2B5EF4-FFF2-40B4-BE49-F238E27FC236}">
              <a16:creationId xmlns:a16="http://schemas.microsoft.com/office/drawing/2014/main" id="{71E27863-7B8E-4ED7-B040-F136233DB6FF}"/>
            </a:ext>
          </a:extLst>
        </xdr:cNvPr>
        <xdr:cNvPicPr>
          <a:picLocks noChangeAspect="1"/>
        </xdr:cNvPicPr>
      </xdr:nvPicPr>
      <xdr:blipFill>
        <a:blip xmlns:r="http://schemas.openxmlformats.org/officeDocument/2006/relationships" r:embed="rId17"/>
        <a:stretch>
          <a:fillRect/>
        </a:stretch>
      </xdr:blipFill>
      <xdr:spPr>
        <a:xfrm>
          <a:off x="295604" y="4649645"/>
          <a:ext cx="277022" cy="266956"/>
        </a:xfrm>
        <a:prstGeom prst="rect">
          <a:avLst/>
        </a:prstGeom>
      </xdr:spPr>
    </xdr:pic>
    <xdr:clientData/>
  </xdr:oneCellAnchor>
  <xdr:oneCellAnchor>
    <xdr:from>
      <xdr:col>0</xdr:col>
      <xdr:colOff>125812</xdr:colOff>
      <xdr:row>43</xdr:row>
      <xdr:rowOff>43796</xdr:rowOff>
    </xdr:from>
    <xdr:ext cx="482154" cy="369271"/>
    <xdr:pic>
      <xdr:nvPicPr>
        <xdr:cNvPr id="22" name="Picture 21">
          <a:extLst>
            <a:ext uri="{FF2B5EF4-FFF2-40B4-BE49-F238E27FC236}">
              <a16:creationId xmlns:a16="http://schemas.microsoft.com/office/drawing/2014/main" id="{CE7A0467-464E-4EAA-922D-E70DDDFB58A4}"/>
            </a:ext>
          </a:extLst>
        </xdr:cNvPr>
        <xdr:cNvPicPr>
          <a:picLocks noChangeAspect="1"/>
        </xdr:cNvPicPr>
      </xdr:nvPicPr>
      <xdr:blipFill rotWithShape="1">
        <a:blip xmlns:r="http://schemas.openxmlformats.org/officeDocument/2006/relationships" r:embed="rId16"/>
        <a:srcRect l="5647" t="13239" r="10838" b="9278"/>
        <a:stretch/>
      </xdr:blipFill>
      <xdr:spPr>
        <a:xfrm>
          <a:off x="127082" y="10928649"/>
          <a:ext cx="482154" cy="369271"/>
        </a:xfrm>
        <a:prstGeom prst="rect">
          <a:avLst/>
        </a:prstGeom>
      </xdr:spPr>
    </xdr:pic>
    <xdr:clientData/>
  </xdr:oneCellAnchor>
  <xdr:oneCellAnchor>
    <xdr:from>
      <xdr:col>0</xdr:col>
      <xdr:colOff>76200</xdr:colOff>
      <xdr:row>42</xdr:row>
      <xdr:rowOff>0</xdr:rowOff>
    </xdr:from>
    <xdr:ext cx="566895" cy="386071"/>
    <xdr:pic>
      <xdr:nvPicPr>
        <xdr:cNvPr id="23" name="Picture 22">
          <a:extLst>
            <a:ext uri="{FF2B5EF4-FFF2-40B4-BE49-F238E27FC236}">
              <a16:creationId xmlns:a16="http://schemas.microsoft.com/office/drawing/2014/main" id="{003E7D6D-1583-4F98-A8DC-2DF7DC43BFD6}"/>
            </a:ext>
          </a:extLst>
        </xdr:cNvPr>
        <xdr:cNvPicPr>
          <a:picLocks noChangeAspect="1"/>
        </xdr:cNvPicPr>
      </xdr:nvPicPr>
      <xdr:blipFill>
        <a:blip xmlns:r="http://schemas.openxmlformats.org/officeDocument/2006/relationships" r:embed="rId13"/>
        <a:stretch>
          <a:fillRect/>
        </a:stretch>
      </xdr:blipFill>
      <xdr:spPr>
        <a:xfrm>
          <a:off x="76200" y="10942405"/>
          <a:ext cx="566895" cy="386071"/>
        </a:xfrm>
        <a:prstGeom prst="rect">
          <a:avLst/>
        </a:prstGeom>
      </xdr:spPr>
    </xdr:pic>
    <xdr:clientData/>
  </xdr:oneCellAnchor>
  <xdr:oneCellAnchor>
    <xdr:from>
      <xdr:col>0</xdr:col>
      <xdr:colOff>125812</xdr:colOff>
      <xdr:row>44</xdr:row>
      <xdr:rowOff>43796</xdr:rowOff>
    </xdr:from>
    <xdr:ext cx="482154" cy="369271"/>
    <xdr:pic>
      <xdr:nvPicPr>
        <xdr:cNvPr id="24" name="Picture 23">
          <a:extLst>
            <a:ext uri="{FF2B5EF4-FFF2-40B4-BE49-F238E27FC236}">
              <a16:creationId xmlns:a16="http://schemas.microsoft.com/office/drawing/2014/main" id="{C0228F20-5ECF-421F-ADF4-A856E0BC77FD}"/>
            </a:ext>
          </a:extLst>
        </xdr:cNvPr>
        <xdr:cNvPicPr>
          <a:picLocks noChangeAspect="1"/>
        </xdr:cNvPicPr>
      </xdr:nvPicPr>
      <xdr:blipFill rotWithShape="1">
        <a:blip xmlns:r="http://schemas.openxmlformats.org/officeDocument/2006/relationships" r:embed="rId16"/>
        <a:srcRect l="5647" t="13239" r="10838" b="9278"/>
        <a:stretch/>
      </xdr:blipFill>
      <xdr:spPr>
        <a:xfrm>
          <a:off x="127082" y="10619086"/>
          <a:ext cx="482154" cy="369271"/>
        </a:xfrm>
        <a:prstGeom prst="rect">
          <a:avLst/>
        </a:prstGeom>
      </xdr:spPr>
    </xdr:pic>
    <xdr:clientData/>
  </xdr:oneCellAnchor>
  <xdr:oneCellAnchor>
    <xdr:from>
      <xdr:col>0</xdr:col>
      <xdr:colOff>71822</xdr:colOff>
      <xdr:row>67</xdr:row>
      <xdr:rowOff>262759</xdr:rowOff>
    </xdr:from>
    <xdr:ext cx="571024" cy="584927"/>
    <xdr:pic>
      <xdr:nvPicPr>
        <xdr:cNvPr id="26" name="Picture 25">
          <a:extLst>
            <a:ext uri="{FF2B5EF4-FFF2-40B4-BE49-F238E27FC236}">
              <a16:creationId xmlns:a16="http://schemas.microsoft.com/office/drawing/2014/main" id="{DE7D6473-71C4-4E3A-88B7-6DE8F1FCD1FD}"/>
            </a:ext>
          </a:extLst>
        </xdr:cNvPr>
        <xdr:cNvPicPr>
          <a:picLocks noChangeAspect="1"/>
        </xdr:cNvPicPr>
      </xdr:nvPicPr>
      <xdr:blipFill rotWithShape="1">
        <a:blip xmlns:r="http://schemas.openxmlformats.org/officeDocument/2006/relationships" r:embed="rId2"/>
        <a:srcRect t="7761"/>
        <a:stretch/>
      </xdr:blipFill>
      <xdr:spPr>
        <a:xfrm>
          <a:off x="71822" y="18038380"/>
          <a:ext cx="571024" cy="584927"/>
        </a:xfrm>
        <a:prstGeom prst="rect">
          <a:avLst/>
        </a:prstGeom>
      </xdr:spPr>
    </xdr:pic>
    <xdr:clientData/>
  </xdr:oneCellAnchor>
  <xdr:oneCellAnchor>
    <xdr:from>
      <xdr:col>0</xdr:col>
      <xdr:colOff>124373</xdr:colOff>
      <xdr:row>66</xdr:row>
      <xdr:rowOff>201448</xdr:rowOff>
    </xdr:from>
    <xdr:ext cx="571024" cy="584927"/>
    <xdr:pic>
      <xdr:nvPicPr>
        <xdr:cNvPr id="27" name="Picture 26">
          <a:extLst>
            <a:ext uri="{FF2B5EF4-FFF2-40B4-BE49-F238E27FC236}">
              <a16:creationId xmlns:a16="http://schemas.microsoft.com/office/drawing/2014/main" id="{A33FE6BF-3A64-4144-A5EE-13FDFA59DF21}"/>
            </a:ext>
          </a:extLst>
        </xdr:cNvPr>
        <xdr:cNvPicPr>
          <a:picLocks noChangeAspect="1"/>
        </xdr:cNvPicPr>
      </xdr:nvPicPr>
      <xdr:blipFill rotWithShape="1">
        <a:blip xmlns:r="http://schemas.openxmlformats.org/officeDocument/2006/relationships" r:embed="rId2"/>
        <a:srcRect t="7761"/>
        <a:stretch/>
      </xdr:blipFill>
      <xdr:spPr>
        <a:xfrm>
          <a:off x="124373" y="17342069"/>
          <a:ext cx="571024" cy="584927"/>
        </a:xfrm>
        <a:prstGeom prst="rect">
          <a:avLst/>
        </a:prstGeom>
      </xdr:spPr>
    </xdr:pic>
    <xdr:clientData/>
  </xdr:oneCellAnchor>
  <xdr:oneCellAnchor>
    <xdr:from>
      <xdr:col>0</xdr:col>
      <xdr:colOff>108857</xdr:colOff>
      <xdr:row>22</xdr:row>
      <xdr:rowOff>159205</xdr:rowOff>
    </xdr:from>
    <xdr:ext cx="428446" cy="345008"/>
    <xdr:pic>
      <xdr:nvPicPr>
        <xdr:cNvPr id="28" name="Picture 27">
          <a:extLst>
            <a:ext uri="{FF2B5EF4-FFF2-40B4-BE49-F238E27FC236}">
              <a16:creationId xmlns:a16="http://schemas.microsoft.com/office/drawing/2014/main" id="{C2EBF37B-8893-4649-8A0F-A3E0411E259C}"/>
            </a:ext>
          </a:extLst>
        </xdr:cNvPr>
        <xdr:cNvPicPr>
          <a:picLocks noChangeAspect="1"/>
        </xdr:cNvPicPr>
      </xdr:nvPicPr>
      <xdr:blipFill>
        <a:blip xmlns:r="http://schemas.openxmlformats.org/officeDocument/2006/relationships" r:embed="rId4"/>
        <a:stretch>
          <a:fillRect/>
        </a:stretch>
      </xdr:blipFill>
      <xdr:spPr>
        <a:xfrm>
          <a:off x="106317" y="4650560"/>
          <a:ext cx="428446" cy="345008"/>
        </a:xfrm>
        <a:prstGeom prst="rect">
          <a:avLst/>
        </a:prstGeom>
      </xdr:spPr>
    </xdr:pic>
    <xdr:clientData/>
  </xdr:oneCellAnchor>
  <xdr:oneCellAnchor>
    <xdr:from>
      <xdr:col>0</xdr:col>
      <xdr:colOff>28575</xdr:colOff>
      <xdr:row>23</xdr:row>
      <xdr:rowOff>152401</xdr:rowOff>
    </xdr:from>
    <xdr:ext cx="613058" cy="409460"/>
    <xdr:pic>
      <xdr:nvPicPr>
        <xdr:cNvPr id="29" name="Picture 28">
          <a:extLst>
            <a:ext uri="{FF2B5EF4-FFF2-40B4-BE49-F238E27FC236}">
              <a16:creationId xmlns:a16="http://schemas.microsoft.com/office/drawing/2014/main" id="{5A28C307-F651-4FC4-943F-7B9A9A4B5694}"/>
            </a:ext>
          </a:extLst>
        </xdr:cNvPr>
        <xdr:cNvPicPr>
          <a:picLocks noChangeAspect="1"/>
        </xdr:cNvPicPr>
      </xdr:nvPicPr>
      <xdr:blipFill>
        <a:blip xmlns:r="http://schemas.openxmlformats.org/officeDocument/2006/relationships" r:embed="rId5"/>
        <a:stretch>
          <a:fillRect/>
        </a:stretch>
      </xdr:blipFill>
      <xdr:spPr>
        <a:xfrm>
          <a:off x="29845" y="4883151"/>
          <a:ext cx="613058" cy="409460"/>
        </a:xfrm>
        <a:prstGeom prst="rect">
          <a:avLst/>
        </a:prstGeom>
      </xdr:spPr>
    </xdr:pic>
    <xdr:clientData/>
  </xdr:oneCellAnchor>
  <xdr:oneCellAnchor>
    <xdr:from>
      <xdr:col>0</xdr:col>
      <xdr:colOff>64771</xdr:colOff>
      <xdr:row>22</xdr:row>
      <xdr:rowOff>7620</xdr:rowOff>
    </xdr:from>
    <xdr:ext cx="243371" cy="263931"/>
    <xdr:pic>
      <xdr:nvPicPr>
        <xdr:cNvPr id="30" name="Picture 29">
          <a:extLst>
            <a:ext uri="{FF2B5EF4-FFF2-40B4-BE49-F238E27FC236}">
              <a16:creationId xmlns:a16="http://schemas.microsoft.com/office/drawing/2014/main" id="{27CE6A9B-7BD6-435D-9B40-3B71F31197E8}"/>
            </a:ext>
          </a:extLst>
        </xdr:cNvPr>
        <xdr:cNvPicPr>
          <a:picLocks noChangeAspect="1"/>
        </xdr:cNvPicPr>
      </xdr:nvPicPr>
      <xdr:blipFill>
        <a:blip xmlns:r="http://schemas.openxmlformats.org/officeDocument/2006/relationships" r:embed="rId6"/>
        <a:stretch>
          <a:fillRect/>
        </a:stretch>
      </xdr:blipFill>
      <xdr:spPr>
        <a:xfrm>
          <a:off x="63501" y="4498975"/>
          <a:ext cx="243371" cy="263931"/>
        </a:xfrm>
        <a:prstGeom prst="rect">
          <a:avLst/>
        </a:prstGeom>
      </xdr:spPr>
    </xdr:pic>
    <xdr:clientData/>
  </xdr:oneCellAnchor>
  <xdr:oneCellAnchor>
    <xdr:from>
      <xdr:col>0</xdr:col>
      <xdr:colOff>295604</xdr:colOff>
      <xdr:row>22</xdr:row>
      <xdr:rowOff>153845</xdr:rowOff>
    </xdr:from>
    <xdr:ext cx="277022" cy="266956"/>
    <xdr:pic>
      <xdr:nvPicPr>
        <xdr:cNvPr id="31" name="Picture 30">
          <a:extLst>
            <a:ext uri="{FF2B5EF4-FFF2-40B4-BE49-F238E27FC236}">
              <a16:creationId xmlns:a16="http://schemas.microsoft.com/office/drawing/2014/main" id="{B7B0A13A-9D35-4FCA-9C78-9B3BF66753AB}"/>
            </a:ext>
          </a:extLst>
        </xdr:cNvPr>
        <xdr:cNvPicPr>
          <a:picLocks noChangeAspect="1"/>
        </xdr:cNvPicPr>
      </xdr:nvPicPr>
      <xdr:blipFill>
        <a:blip xmlns:r="http://schemas.openxmlformats.org/officeDocument/2006/relationships" r:embed="rId17"/>
        <a:stretch>
          <a:fillRect/>
        </a:stretch>
      </xdr:blipFill>
      <xdr:spPr>
        <a:xfrm>
          <a:off x="296874" y="4646470"/>
          <a:ext cx="277022" cy="266956"/>
        </a:xfrm>
        <a:prstGeom prst="rect">
          <a:avLst/>
        </a:prstGeom>
      </xdr:spPr>
    </xdr:pic>
    <xdr:clientData/>
  </xdr:oneCellAnchor>
  <xdr:oneCellAnchor>
    <xdr:from>
      <xdr:col>0</xdr:col>
      <xdr:colOff>76200</xdr:colOff>
      <xdr:row>46</xdr:row>
      <xdr:rowOff>70570</xdr:rowOff>
    </xdr:from>
    <xdr:ext cx="565625" cy="386071"/>
    <xdr:pic>
      <xdr:nvPicPr>
        <xdr:cNvPr id="32" name="Picture 31">
          <a:extLst>
            <a:ext uri="{FF2B5EF4-FFF2-40B4-BE49-F238E27FC236}">
              <a16:creationId xmlns:a16="http://schemas.microsoft.com/office/drawing/2014/main" id="{C969646A-05E8-4D5F-ABF6-F0028CB64148}"/>
            </a:ext>
          </a:extLst>
        </xdr:cNvPr>
        <xdr:cNvPicPr>
          <a:picLocks noChangeAspect="1"/>
        </xdr:cNvPicPr>
      </xdr:nvPicPr>
      <xdr:blipFill>
        <a:blip xmlns:r="http://schemas.openxmlformats.org/officeDocument/2006/relationships" r:embed="rId13"/>
        <a:stretch>
          <a:fillRect/>
        </a:stretch>
      </xdr:blipFill>
      <xdr:spPr>
        <a:xfrm>
          <a:off x="76200" y="9870843"/>
          <a:ext cx="565625" cy="386071"/>
        </a:xfrm>
        <a:prstGeom prst="rect">
          <a:avLst/>
        </a:prstGeom>
      </xdr:spPr>
    </xdr:pic>
    <xdr:clientData/>
  </xdr:oneCellAnchor>
  <xdr:oneCellAnchor>
    <xdr:from>
      <xdr:col>0</xdr:col>
      <xdr:colOff>125812</xdr:colOff>
      <xdr:row>46</xdr:row>
      <xdr:rowOff>0</xdr:rowOff>
    </xdr:from>
    <xdr:ext cx="482154" cy="373081"/>
    <xdr:pic>
      <xdr:nvPicPr>
        <xdr:cNvPr id="33" name="Picture 32">
          <a:extLst>
            <a:ext uri="{FF2B5EF4-FFF2-40B4-BE49-F238E27FC236}">
              <a16:creationId xmlns:a16="http://schemas.microsoft.com/office/drawing/2014/main" id="{C0C3CE60-E3A4-452A-99EE-25382FB47574}"/>
            </a:ext>
          </a:extLst>
        </xdr:cNvPr>
        <xdr:cNvPicPr>
          <a:picLocks noChangeAspect="1"/>
        </xdr:cNvPicPr>
      </xdr:nvPicPr>
      <xdr:blipFill rotWithShape="1">
        <a:blip xmlns:r="http://schemas.openxmlformats.org/officeDocument/2006/relationships" r:embed="rId16"/>
        <a:srcRect l="5647" t="13239" r="10838" b="9278"/>
        <a:stretch/>
      </xdr:blipFill>
      <xdr:spPr>
        <a:xfrm>
          <a:off x="127082" y="9802813"/>
          <a:ext cx="482154" cy="373081"/>
        </a:xfrm>
        <a:prstGeom prst="rect">
          <a:avLst/>
        </a:prstGeom>
      </xdr:spPr>
    </xdr:pic>
    <xdr:clientData/>
  </xdr:oneCellAnchor>
  <xdr:oneCellAnchor>
    <xdr:from>
      <xdr:col>0</xdr:col>
      <xdr:colOff>125812</xdr:colOff>
      <xdr:row>45</xdr:row>
      <xdr:rowOff>43796</xdr:rowOff>
    </xdr:from>
    <xdr:ext cx="482154" cy="369271"/>
    <xdr:pic>
      <xdr:nvPicPr>
        <xdr:cNvPr id="34" name="Picture 33">
          <a:extLst>
            <a:ext uri="{FF2B5EF4-FFF2-40B4-BE49-F238E27FC236}">
              <a16:creationId xmlns:a16="http://schemas.microsoft.com/office/drawing/2014/main" id="{CBC4E1C8-1E39-4B40-BB6A-690066DA5C9A}"/>
            </a:ext>
          </a:extLst>
        </xdr:cNvPr>
        <xdr:cNvPicPr>
          <a:picLocks noChangeAspect="1"/>
        </xdr:cNvPicPr>
      </xdr:nvPicPr>
      <xdr:blipFill rotWithShape="1">
        <a:blip xmlns:r="http://schemas.openxmlformats.org/officeDocument/2006/relationships" r:embed="rId16"/>
        <a:srcRect l="5647" t="13239" r="10838" b="9278"/>
        <a:stretch/>
      </xdr:blipFill>
      <xdr:spPr>
        <a:xfrm>
          <a:off x="127082" y="9547524"/>
          <a:ext cx="482154" cy="369271"/>
        </a:xfrm>
        <a:prstGeom prst="rect">
          <a:avLst/>
        </a:prstGeom>
      </xdr:spPr>
    </xdr:pic>
    <xdr:clientData/>
  </xdr:oneCellAnchor>
  <xdr:oneCellAnchor>
    <xdr:from>
      <xdr:col>0</xdr:col>
      <xdr:colOff>125812</xdr:colOff>
      <xdr:row>46</xdr:row>
      <xdr:rowOff>43796</xdr:rowOff>
    </xdr:from>
    <xdr:ext cx="482154" cy="369271"/>
    <xdr:pic>
      <xdr:nvPicPr>
        <xdr:cNvPr id="35" name="Picture 34">
          <a:extLst>
            <a:ext uri="{FF2B5EF4-FFF2-40B4-BE49-F238E27FC236}">
              <a16:creationId xmlns:a16="http://schemas.microsoft.com/office/drawing/2014/main" id="{9F1CFD79-D7D2-4101-B085-B3E303006F38}"/>
            </a:ext>
          </a:extLst>
        </xdr:cNvPr>
        <xdr:cNvPicPr>
          <a:picLocks noChangeAspect="1"/>
        </xdr:cNvPicPr>
      </xdr:nvPicPr>
      <xdr:blipFill rotWithShape="1">
        <a:blip xmlns:r="http://schemas.openxmlformats.org/officeDocument/2006/relationships" r:embed="rId16"/>
        <a:srcRect l="5647" t="13239" r="10838" b="9278"/>
        <a:stretch/>
      </xdr:blipFill>
      <xdr:spPr>
        <a:xfrm>
          <a:off x="127082" y="9849149"/>
          <a:ext cx="482154" cy="369271"/>
        </a:xfrm>
        <a:prstGeom prst="rect">
          <a:avLst/>
        </a:prstGeom>
      </xdr:spPr>
    </xdr:pic>
    <xdr:clientData/>
  </xdr:oneCellAnchor>
  <xdr:twoCellAnchor>
    <xdr:from>
      <xdr:col>6</xdr:col>
      <xdr:colOff>470647</xdr:colOff>
      <xdr:row>71</xdr:row>
      <xdr:rowOff>134471</xdr:rowOff>
    </xdr:from>
    <xdr:to>
      <xdr:col>15</xdr:col>
      <xdr:colOff>22412</xdr:colOff>
      <xdr:row>83</xdr:row>
      <xdr:rowOff>78441</xdr:rowOff>
    </xdr:to>
    <xdr:sp macro="" textlink="">
      <xdr:nvSpPr>
        <xdr:cNvPr id="36" name="TextBox 35">
          <a:extLst>
            <a:ext uri="{FF2B5EF4-FFF2-40B4-BE49-F238E27FC236}">
              <a16:creationId xmlns:a16="http://schemas.microsoft.com/office/drawing/2014/main" id="{3992DE1F-5458-AF81-5817-8D4B48B3A6E8}"/>
            </a:ext>
          </a:extLst>
        </xdr:cNvPr>
        <xdr:cNvSpPr txBox="1"/>
      </xdr:nvSpPr>
      <xdr:spPr>
        <a:xfrm>
          <a:off x="6611471" y="18747442"/>
          <a:ext cx="7306235" cy="222997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TO UPDATE/ADD</a:t>
          </a:r>
          <a:r>
            <a:rPr lang="en-US" sz="1100" b="1" baseline="0"/>
            <a:t> PRODUCTS (03/06/26)</a:t>
          </a:r>
        </a:p>
        <a:p>
          <a:endParaRPr lang="en-US" sz="1100" baseline="0"/>
        </a:p>
        <a:p>
          <a:r>
            <a:rPr lang="en-US" sz="1100" baseline="0"/>
            <a:t>Line 71 on the "Data" tab is referenced in a lot of places in the "Tool" tab and needs to be changed for any added products -- it occurs in a number of vlookups on the "Tool" tab. These need to be updated (Find &amp; Replace) wherever they occur or the speaker selection will send the Vlookups to lines they cannot see.</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loudspeaker drop-down list (Line 13 of "Tool") needs to look at the current list (beyond Line 71) in the "Data Validation" settings within Excel.</a:t>
          </a:r>
          <a:endParaRPr lang="en-US">
            <a:effectLst/>
          </a:endParaRPr>
        </a:p>
        <a:p>
          <a:endParaRPr lang="en-US" sz="1100" baseline="0"/>
        </a:p>
        <a:p>
          <a:r>
            <a:rPr lang="en-US" sz="1100" baseline="0"/>
            <a:t>Also, the "Module 1" VBA script range needs to be updated from Line 69. This is what recommends the dipswitch settings. It looks at Columns W, X, Y of "Data" for an override. If there is none, it returns "" (blank), which the conditional statement in the formula of line 112 in the "Tool" tab replaces with "Lo-Z".</a:t>
          </a:r>
        </a:p>
        <a:p>
          <a:endParaRPr lang="en-US" sz="1100" baseline="0"/>
        </a:p>
        <a:p>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person displayName="Klas Dalbjörn" id="{EC7FB741-BD99-4F7B-9EF5-49CBF8ECB403}" userId="84340acf2aa0ee5d" providerId="Windows Live"/>
  <person displayName="Kyte, Andy" id="{0749A59C-6F4D-4C30-BBEF-3DE6AB9F0326}" userId="S::ak1024842@bose.com::82d481dc-630b-470d-968e-868d65435b73"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2" dT="2019-02-22T11:26:04.11" personId="{EC7FB741-BD99-4F7B-9EF5-49CBF8ECB403}" id="{99C249E4-44C8-4539-B9BF-FF2E48560D29}">
    <text>Scenario 1</text>
  </threadedComment>
  <threadedComment ref="M3" dT="2019-02-22T11:26:17.90" personId="{EC7FB741-BD99-4F7B-9EF5-49CBF8ECB403}" id="{87279337-8C80-4B95-ACCB-249B5B64E26D}">
    <text>Scenario 2</text>
  </threadedComment>
  <threadedComment ref="M4" dT="2019-02-22T11:35:07.81" personId="{EC7FB741-BD99-4F7B-9EF5-49CBF8ECB403}" id="{0B869904-0575-4A17-8FFF-851FD6A9215A}">
    <text>Scenario 3</text>
  </threadedComment>
  <threadedComment ref="M5" dT="2019-02-22T12:40:42.76" personId="{EC7FB741-BD99-4F7B-9EF5-49CBF8ECB403}" id="{6AFA35F9-9BCB-4D05-A05F-04D23E6F544E}">
    <text>Scenario 4</text>
  </threadedComment>
</ThreadedComments>
</file>

<file path=xl/threadedComments/threadedComment2.xml><?xml version="1.0" encoding="utf-8"?>
<ThreadedComments xmlns="http://schemas.microsoft.com/office/spreadsheetml/2018/threadedcomments" xmlns:x="http://schemas.openxmlformats.org/spreadsheetml/2006/main">
  <threadedComment ref="F1" dT="2023-03-02T18:32:49.12" personId="{0749A59C-6F4D-4C30-BBEF-3DE6AB9F0326}" id="{640F29E5-5E3D-4FB8-BFC6-9B9784D495B3}">
    <text>All channels driven with the same burst power</text>
  </threadedComment>
  <threadedComment ref="D2" dT="2023-03-02T18:31:28.04" personId="{0749A59C-6F4D-4C30-BBEF-3DE6AB9F0326}" id="{BBA3AFB4-11F4-4B9A-BF89-E8E9CC79DDC8}">
    <text>Maximum unclipped output voltage @ 8 ohms</text>
  </threadedComment>
  <threadedComment ref="D2" dT="2023-03-20T19:23:22.77" personId="{0749A59C-6F4D-4C30-BBEF-3DE6AB9F0326}" id="{F0E0C30E-F717-4C6E-A478-C3D264AF697D}" parentId="{BBA3AFB4-11F4-4B9A-BF89-E8E9CC79DDC8}">
    <text>What about situations when you set dip switch to 70v or 100v to get more voltage?</text>
  </threadedComment>
  <threadedComment ref="E2" dT="2023-03-02T18:37:34.99" personId="{0749A59C-6F4D-4C30-BBEF-3DE6AB9F0326}" id="{CCF36DE3-CAD7-4A3D-9D77-0A472C244334}">
    <text>Maximum output current Apk</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5CF7A-B53F-4D62-AFD9-D8FC85BC4642}">
  <sheetPr codeName="Sheet1"/>
  <dimension ref="D1:J15"/>
  <sheetViews>
    <sheetView showGridLines="0" showRowColHeaders="0" tabSelected="1" workbookViewId="0">
      <selection activeCell="H20" sqref="H20"/>
    </sheetView>
  </sheetViews>
  <sheetFormatPr defaultRowHeight="14.4"/>
  <cols>
    <col min="3" max="3" width="12.15625" customWidth="1"/>
  </cols>
  <sheetData>
    <row r="1" spans="4:10" ht="14.5" customHeight="1">
      <c r="D1" s="350" t="s">
        <v>322</v>
      </c>
      <c r="E1" s="350"/>
      <c r="F1" s="350"/>
      <c r="G1" s="350"/>
      <c r="H1" s="350"/>
      <c r="I1" s="350"/>
      <c r="J1" s="350"/>
    </row>
    <row r="2" spans="4:10">
      <c r="D2" s="350"/>
      <c r="E2" s="350"/>
      <c r="F2" s="350"/>
      <c r="G2" s="350"/>
      <c r="H2" s="350"/>
      <c r="I2" s="350"/>
      <c r="J2" s="350"/>
    </row>
    <row r="3" spans="4:10">
      <c r="D3" s="350"/>
      <c r="E3" s="350"/>
      <c r="F3" s="350"/>
      <c r="G3" s="350"/>
      <c r="H3" s="350"/>
      <c r="I3" s="350"/>
      <c r="J3" s="350"/>
    </row>
    <row r="4" spans="4:10">
      <c r="D4" s="350"/>
      <c r="E4" s="350"/>
      <c r="F4" s="350"/>
      <c r="G4" s="350"/>
      <c r="H4" s="350"/>
      <c r="I4" s="350"/>
      <c r="J4" s="350"/>
    </row>
    <row r="5" spans="4:10">
      <c r="D5" s="350"/>
      <c r="E5" s="350"/>
      <c r="F5" s="350"/>
      <c r="G5" s="350"/>
      <c r="H5" s="350"/>
      <c r="I5" s="350"/>
      <c r="J5" s="350"/>
    </row>
    <row r="6" spans="4:10">
      <c r="D6" s="350"/>
      <c r="E6" s="350"/>
      <c r="F6" s="350"/>
      <c r="G6" s="350"/>
      <c r="H6" s="350"/>
      <c r="I6" s="350"/>
      <c r="J6" s="350"/>
    </row>
    <row r="7" spans="4:10">
      <c r="D7" s="350"/>
      <c r="E7" s="350"/>
      <c r="F7" s="350"/>
      <c r="G7" s="350"/>
      <c r="H7" s="350"/>
      <c r="I7" s="350"/>
      <c r="J7" s="350"/>
    </row>
    <row r="8" spans="4:10">
      <c r="D8" s="350"/>
      <c r="E8" s="350"/>
      <c r="F8" s="350"/>
      <c r="G8" s="350"/>
      <c r="H8" s="350"/>
      <c r="I8" s="350"/>
      <c r="J8" s="350"/>
    </row>
    <row r="9" spans="4:10">
      <c r="D9" s="350"/>
      <c r="E9" s="350"/>
      <c r="F9" s="350"/>
      <c r="G9" s="350"/>
      <c r="H9" s="350"/>
      <c r="I9" s="350"/>
      <c r="J9" s="350"/>
    </row>
    <row r="10" spans="4:10" ht="61" customHeight="1">
      <c r="D10" s="350"/>
      <c r="E10" s="350"/>
      <c r="F10" s="350"/>
      <c r="G10" s="350"/>
      <c r="H10" s="350"/>
      <c r="I10" s="350"/>
      <c r="J10" s="350"/>
    </row>
    <row r="11" spans="4:10">
      <c r="D11" s="350"/>
      <c r="E11" s="350"/>
      <c r="F11" s="350"/>
      <c r="G11" s="350"/>
      <c r="H11" s="350"/>
      <c r="I11" s="350"/>
      <c r="J11" s="350"/>
    </row>
    <row r="12" spans="4:10">
      <c r="D12" s="350"/>
      <c r="E12" s="350"/>
      <c r="F12" s="350"/>
      <c r="G12" s="350"/>
      <c r="H12" s="350"/>
      <c r="I12" s="350"/>
      <c r="J12" s="350"/>
    </row>
    <row r="13" spans="4:10">
      <c r="D13" s="350"/>
      <c r="E13" s="350"/>
      <c r="F13" s="350"/>
      <c r="G13" s="350"/>
      <c r="H13" s="350"/>
      <c r="I13" s="350"/>
      <c r="J13" s="350"/>
    </row>
    <row r="14" spans="4:10">
      <c r="D14" s="350"/>
      <c r="E14" s="350"/>
      <c r="F14" s="350"/>
      <c r="G14" s="350"/>
      <c r="H14" s="350"/>
      <c r="I14" s="350"/>
      <c r="J14" s="350"/>
    </row>
    <row r="15" spans="4:10">
      <c r="D15" s="350"/>
      <c r="E15" s="350"/>
      <c r="F15" s="350"/>
      <c r="G15" s="350"/>
      <c r="H15" s="350"/>
      <c r="I15" s="350"/>
      <c r="J15" s="350"/>
    </row>
  </sheetData>
  <mergeCells count="1">
    <mergeCell ref="D1:J1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202DD-17AC-4FD5-B434-8C725B1134FE}">
  <sheetPr codeName="Sheet2"/>
  <dimension ref="B1:AQ184"/>
  <sheetViews>
    <sheetView topLeftCell="B7" zoomScaleNormal="100" workbookViewId="0">
      <selection activeCell="M7" sqref="M7"/>
    </sheetView>
  </sheetViews>
  <sheetFormatPr defaultColWidth="11.15625" defaultRowHeight="14.4"/>
  <cols>
    <col min="1" max="1" width="1.68359375" style="2" customWidth="1"/>
    <col min="2" max="2" width="28.26171875" style="1" customWidth="1"/>
    <col min="3" max="3" width="19.15625" style="2" customWidth="1"/>
    <col min="4" max="4" width="19" style="2" customWidth="1"/>
    <col min="5" max="5" width="19.15625" style="2" customWidth="1"/>
    <col min="6" max="6" width="18.41796875" style="2" customWidth="1"/>
    <col min="7" max="10" width="14.68359375" style="2" hidden="1" customWidth="1"/>
    <col min="11" max="11" width="14" style="24" hidden="1" customWidth="1"/>
    <col min="12" max="12" width="10.578125" style="24" hidden="1" customWidth="1"/>
    <col min="13" max="13" width="85.83984375" style="2" customWidth="1"/>
    <col min="14" max="14" width="17.41796875" style="2" hidden="1" customWidth="1"/>
    <col min="15" max="15" width="12.41796875" style="2" hidden="1" customWidth="1"/>
    <col min="16" max="19" width="18.41796875" style="2" hidden="1" customWidth="1"/>
    <col min="20" max="22" width="17.41796875" style="2" hidden="1" customWidth="1"/>
    <col min="23" max="25" width="14.68359375" style="2" hidden="1" customWidth="1"/>
    <col min="26" max="26" width="12.41796875" style="2" hidden="1" customWidth="1"/>
    <col min="27" max="28" width="10.578125" style="2" hidden="1" customWidth="1"/>
    <col min="29" max="29" width="11.15625" style="2" hidden="1" customWidth="1"/>
    <col min="30" max="30" width="12" style="2" hidden="1" customWidth="1"/>
    <col min="31" max="31" width="15.41796875" style="2" hidden="1" customWidth="1"/>
    <col min="32" max="32" width="14.68359375" style="2" hidden="1" customWidth="1"/>
    <col min="33" max="33" width="7.83984375" style="2" hidden="1" customWidth="1"/>
    <col min="34" max="34" width="11.15625" style="2" hidden="1" customWidth="1"/>
    <col min="35" max="35" width="18.41796875" style="2" hidden="1" customWidth="1"/>
    <col min="36" max="36" width="11.15625" style="2" hidden="1" customWidth="1"/>
    <col min="37" max="59" width="11.15625" style="2" customWidth="1"/>
    <col min="60" max="16384" width="11.15625" style="2"/>
  </cols>
  <sheetData>
    <row r="1" spans="2:41" ht="15.9" hidden="1" thickBot="1">
      <c r="K1" s="3" t="str">
        <f>IF(E10&lt;0.999*O43,"I&lt;Imax",IF(E10&gt;1.001*O43,"I&gt;Imax","I@Imax"))</f>
        <v>I&gt;Imax</v>
      </c>
      <c r="L1" s="3" t="str">
        <f>IF(L39&gt;0.01,"Pdes&lt;Pmax",IF(L39&lt;-0.01,"Pdes&gt;Pmax","Pdes@Pmax"))</f>
        <v>Pdes&lt;Pmax</v>
      </c>
      <c r="M1" s="4" t="str">
        <f>IF(L4="Pavg ok",IF(K4&gt;3,CONCATENATE("The amplifier should only need ",ROUND(K132,1),"A as an average over time. "),""),"")</f>
        <v xml:space="preserve">The amplifier should only need 0.4A as an average over time. </v>
      </c>
      <c r="P1" s="12" t="s">
        <v>11</v>
      </c>
      <c r="Q1" s="12" t="s">
        <v>12</v>
      </c>
      <c r="R1" s="13" t="s">
        <v>0</v>
      </c>
      <c r="S1" s="2">
        <f>LEN(S2)</f>
        <v>19</v>
      </c>
      <c r="V1" s="13" t="s">
        <v>1</v>
      </c>
      <c r="W1" s="13" t="s">
        <v>2</v>
      </c>
      <c r="X1" s="13" t="s">
        <v>3</v>
      </c>
      <c r="Y1" s="13" t="s">
        <v>4</v>
      </c>
      <c r="Z1" s="12" t="s">
        <v>5</v>
      </c>
    </row>
    <row r="2" spans="2:41" ht="16" hidden="1" customHeight="1">
      <c r="C2" s="5" t="s">
        <v>6</v>
      </c>
      <c r="D2" s="6"/>
      <c r="G2" s="2" t="s">
        <v>7</v>
      </c>
      <c r="K2" s="7" t="s">
        <v>8</v>
      </c>
      <c r="L2" s="8">
        <f>MAX(K132,AVERAGE(O12/O40/C10,O42/C10))</f>
        <v>6.415694591728526</v>
      </c>
      <c r="M2" s="9" t="str">
        <f>IF(K1="I&lt;Imax",IF(K3&lt;-0.01,IF(L1="Pdes&lt;Pmax",IF(L4="Pavg&lt;Pdes","The amplifier can deliver the desired average power if the mains current is increased. ",""),""),""),"")</f>
        <v/>
      </c>
      <c r="N2" s="10" t="s">
        <v>9</v>
      </c>
      <c r="O2" s="11" t="s">
        <v>10</v>
      </c>
      <c r="P2" s="12"/>
      <c r="Q2" s="12"/>
      <c r="S2" s="13" t="s">
        <v>13</v>
      </c>
      <c r="T2" s="13" t="s">
        <v>14</v>
      </c>
      <c r="U2" s="13" t="s">
        <v>15</v>
      </c>
      <c r="AI2" s="2" t="s">
        <v>16</v>
      </c>
    </row>
    <row r="3" spans="2:41" ht="16" hidden="1" customHeight="1">
      <c r="C3" s="14" t="s">
        <v>17</v>
      </c>
      <c r="D3" s="15">
        <v>60</v>
      </c>
      <c r="G3" s="2" t="s">
        <v>18</v>
      </c>
      <c r="H3" s="16">
        <f>SQRT(2)*100</f>
        <v>141.42135623730951</v>
      </c>
      <c r="K3" s="17">
        <f>10*LOG10(L2/O43)</f>
        <v>-0.6781758147655953</v>
      </c>
      <c r="L3" s="18" t="s">
        <v>19</v>
      </c>
      <c r="M3" s="19" t="str">
        <f>IF(E10&lt;L2,IF(L1="Pdes&gt;Pmax",IF(K5&lt;-0.01,"It can get closer to the desired average power with a higher mains current availability. ",""),""),"")</f>
        <v/>
      </c>
      <c r="N3" s="2" t="s">
        <v>20</v>
      </c>
      <c r="O3" s="20">
        <f>INDEX(P3:Z3,1,MATCH(C$9,P$2:Z$2,0))</f>
        <v>1200</v>
      </c>
      <c r="P3" s="21">
        <v>400</v>
      </c>
      <c r="Q3" s="22">
        <v>600</v>
      </c>
      <c r="R3" s="21">
        <v>9600</v>
      </c>
      <c r="S3" s="21">
        <v>6000</v>
      </c>
      <c r="T3" s="21">
        <v>2400</v>
      </c>
      <c r="U3" s="21">
        <v>1200</v>
      </c>
      <c r="V3" s="21">
        <v>8000</v>
      </c>
      <c r="W3" s="21">
        <v>6000</v>
      </c>
      <c r="X3" s="21">
        <v>3000</v>
      </c>
      <c r="Y3" s="23">
        <v>20800</v>
      </c>
      <c r="Z3" s="22" cm="1">
        <f t="array" ref="Z3">MIN(IF($C$35:$F$35&gt;8200,25000,32800))</f>
        <v>32800</v>
      </c>
      <c r="AA3" s="22" cm="1">
        <f t="array" ref="AA3">MIN(IF($C$35:$F$35&gt;150,500,600))</f>
        <v>600</v>
      </c>
      <c r="AI3" s="24">
        <v>100</v>
      </c>
    </row>
    <row r="4" spans="2:41" ht="16" hidden="1" customHeight="1">
      <c r="C4" s="14" t="s">
        <v>21</v>
      </c>
      <c r="D4" s="25">
        <f>25^2/D3</f>
        <v>10.416666666666666</v>
      </c>
      <c r="G4" s="2" t="s">
        <v>22</v>
      </c>
      <c r="H4" s="16">
        <v>100</v>
      </c>
      <c r="K4" s="17">
        <f>10*LOG10(E10/K132)</f>
        <v>15.25399035619138</v>
      </c>
      <c r="L4" s="3" t="str">
        <f>IF(K138&lt;-0.01,"Pavg&lt;Pdes","Pavg ok")</f>
        <v>Pavg ok</v>
      </c>
      <c r="M4" s="4" t="str">
        <f>IF(E10&gt;L2*1.01,IF(E10&lt;0.99*O43,IF(L4="Pavg&lt;Pdes",CONCATENATE("The desired total average power exceeds the capacity. It's expected to draw around ",ROUND(L2,1),"A when it reaches its total average power capacity so increasing the available current won't let it reach the desired average power. "),""),""),"")</f>
        <v/>
      </c>
      <c r="O4" s="20"/>
      <c r="P4" s="21">
        <v>100</v>
      </c>
      <c r="Q4" s="21">
        <v>150</v>
      </c>
      <c r="R4" s="21">
        <v>2400</v>
      </c>
      <c r="S4" s="21">
        <v>1200</v>
      </c>
      <c r="T4" s="21">
        <v>600</v>
      </c>
      <c r="U4" s="21">
        <v>300</v>
      </c>
      <c r="V4" s="21">
        <v>2000</v>
      </c>
      <c r="W4" s="21">
        <v>1250</v>
      </c>
      <c r="X4" s="21">
        <v>750</v>
      </c>
      <c r="Y4" s="20">
        <v>5200</v>
      </c>
      <c r="Z4" s="21">
        <v>4800</v>
      </c>
      <c r="AA4" s="20"/>
      <c r="AI4" s="24">
        <v>115</v>
      </c>
    </row>
    <row r="5" spans="2:41" ht="16.899999999999999" hidden="1" customHeight="1">
      <c r="C5" s="14" t="s">
        <v>23</v>
      </c>
      <c r="D5" s="25">
        <f>100^2/2/D3</f>
        <v>83.333333333333329</v>
      </c>
      <c r="G5" s="2" t="s">
        <v>24</v>
      </c>
      <c r="H5" s="16">
        <f>SQRT(2)*25</f>
        <v>35.355339059327378</v>
      </c>
      <c r="K5" s="17">
        <f>10*LOG10(E10/L2)</f>
        <v>3.6884757714054075</v>
      </c>
      <c r="M5" s="19" t="str">
        <f>IF(E10&gt;O43*1.01,CONCATENATE("The amplifier is limited to ",O43,"A. "),"")</f>
        <v xml:space="preserve">The amplifier is limited to 7.5A. </v>
      </c>
      <c r="O5" s="20"/>
      <c r="P5" s="26">
        <f>P3/8</f>
        <v>50</v>
      </c>
      <c r="Q5" s="26">
        <f>Q3/8</f>
        <v>75</v>
      </c>
      <c r="R5" s="26">
        <f>R3/8</f>
        <v>1200</v>
      </c>
      <c r="S5" s="26">
        <f>S3/8</f>
        <v>750</v>
      </c>
      <c r="T5" s="26">
        <f t="shared" ref="T5:X5" si="0">T3/8</f>
        <v>300</v>
      </c>
      <c r="U5" s="26">
        <f t="shared" si="0"/>
        <v>150</v>
      </c>
      <c r="V5" s="26">
        <f t="shared" si="0"/>
        <v>1000</v>
      </c>
      <c r="W5" s="26">
        <f t="shared" si="0"/>
        <v>750</v>
      </c>
      <c r="X5" s="26">
        <f t="shared" si="0"/>
        <v>375</v>
      </c>
      <c r="Y5" s="27">
        <f>Y3/8</f>
        <v>2600</v>
      </c>
      <c r="Z5" s="26">
        <f t="shared" ref="Z5" si="1">Z3/8</f>
        <v>4100</v>
      </c>
      <c r="AA5" s="20"/>
      <c r="AI5" s="24">
        <v>120</v>
      </c>
    </row>
    <row r="6" spans="2:41" ht="17.100000000000001" hidden="1" customHeight="1" thickBot="1">
      <c r="C6" s="28" t="s">
        <v>25</v>
      </c>
      <c r="D6" s="29">
        <f>100^2/D3</f>
        <v>166.66666666666666</v>
      </c>
      <c r="G6" s="2" t="s">
        <v>24</v>
      </c>
      <c r="O6" s="20"/>
      <c r="P6" s="26">
        <f t="shared" ref="P6:Z6" si="2">(P12-P39)*P16</f>
        <v>55.875</v>
      </c>
      <c r="Q6" s="26">
        <f t="shared" si="2"/>
        <v>85.715000000000003</v>
      </c>
      <c r="R6" s="26">
        <f t="shared" si="2"/>
        <v>816.19999999999993</v>
      </c>
      <c r="S6" s="26">
        <f t="shared" si="2"/>
        <v>875.4319999999999</v>
      </c>
      <c r="T6" s="26">
        <f t="shared" si="2"/>
        <v>514.63199999999995</v>
      </c>
      <c r="U6" s="26">
        <f t="shared" si="2"/>
        <v>424.43200000000002</v>
      </c>
      <c r="V6" s="26">
        <f t="shared" si="2"/>
        <v>874.5</v>
      </c>
      <c r="W6" s="26">
        <f t="shared" si="2"/>
        <v>875.4319999999999</v>
      </c>
      <c r="X6" s="26">
        <f t="shared" si="2"/>
        <v>424.43200000000002</v>
      </c>
      <c r="Y6" s="27">
        <f t="shared" si="2"/>
        <v>1375.05</v>
      </c>
      <c r="Z6" s="26">
        <f t="shared" si="2"/>
        <v>4289.8</v>
      </c>
      <c r="AA6" s="20"/>
      <c r="AI6" s="24">
        <v>125</v>
      </c>
    </row>
    <row r="7" spans="2:41" ht="91" customHeight="1" thickBot="1">
      <c r="C7" s="233" t="s">
        <v>265</v>
      </c>
      <c r="E7" s="31"/>
      <c r="F7" s="31"/>
      <c r="I7" s="30"/>
      <c r="J7" s="30"/>
      <c r="M7" s="32"/>
      <c r="N7" s="2" t="s">
        <v>26</v>
      </c>
      <c r="O7" s="20">
        <f>INDEX(P7:Z7,1,MATCH(C$9,P$2:Z$2,0))</f>
        <v>360</v>
      </c>
      <c r="P7" s="33">
        <f>MIN(P6,ROUND(AVERAGE(P6,P6,P6,P5),-1))</f>
        <v>50</v>
      </c>
      <c r="Q7" s="33">
        <f>MIN(Q6,ROUND(AVERAGE(Q6,Q6,Q6,Q5),-1))</f>
        <v>80</v>
      </c>
      <c r="R7" s="33">
        <f t="shared" ref="R7:X7" si="3">MIN(R6,ROUND(AVERAGE(R6,R6,R6,R5),-1))</f>
        <v>816.19999999999993</v>
      </c>
      <c r="S7" s="33">
        <f>MIN(S6,ROUND(AVERAGE(S6,S6,S6,S5),-1))</f>
        <v>840</v>
      </c>
      <c r="T7" s="33">
        <f>MIN(T6,ROUND(AVERAGE(T6,T6,T6,T5),-1))</f>
        <v>460</v>
      </c>
      <c r="U7" s="33">
        <f t="shared" si="3"/>
        <v>360</v>
      </c>
      <c r="V7" s="33">
        <f t="shared" si="3"/>
        <v>874.5</v>
      </c>
      <c r="W7" s="33">
        <f t="shared" si="3"/>
        <v>840</v>
      </c>
      <c r="X7" s="33">
        <f t="shared" si="3"/>
        <v>410</v>
      </c>
      <c r="Y7" s="34">
        <f>(Y12-Y39)*Y31</f>
        <v>1344.15</v>
      </c>
      <c r="Z7" s="35">
        <f>(Z12-Z39)*Z31</f>
        <v>4193.3999999999996</v>
      </c>
      <c r="AA7" s="36"/>
      <c r="AI7" s="24">
        <v>173</v>
      </c>
      <c r="AO7" s="37"/>
    </row>
    <row r="8" spans="2:41" s="41" customFormat="1" ht="19.5" customHeight="1" thickBot="1">
      <c r="B8" s="38" t="s">
        <v>27</v>
      </c>
      <c r="C8" s="39"/>
      <c r="D8" s="39"/>
      <c r="E8" s="39"/>
      <c r="F8" s="39"/>
      <c r="G8" s="39"/>
      <c r="H8" s="39"/>
      <c r="I8" s="39"/>
      <c r="J8" s="298"/>
      <c r="K8" s="40"/>
      <c r="L8" s="40"/>
      <c r="M8" s="314" t="s">
        <v>267</v>
      </c>
      <c r="N8" s="41" t="s">
        <v>28</v>
      </c>
      <c r="O8" s="42">
        <f>INDEX(P8:Z8,1,MATCH(C$9,P$2:Z$2,0))</f>
        <v>1100</v>
      </c>
      <c r="P8" s="43">
        <v>320</v>
      </c>
      <c r="Q8" s="43">
        <v>600</v>
      </c>
      <c r="R8" s="43">
        <v>3500</v>
      </c>
      <c r="S8" s="43">
        <v>2200</v>
      </c>
      <c r="T8" s="43">
        <v>1200</v>
      </c>
      <c r="U8" s="43">
        <v>1100</v>
      </c>
      <c r="V8" s="43">
        <v>2300</v>
      </c>
      <c r="W8" s="43">
        <v>2100</v>
      </c>
      <c r="X8" s="43">
        <v>1200</v>
      </c>
      <c r="Y8" s="44">
        <v>5400</v>
      </c>
      <c r="Z8" s="43">
        <v>10000</v>
      </c>
      <c r="AA8" s="42"/>
      <c r="AF8" s="41" t="s">
        <v>29</v>
      </c>
      <c r="AG8" s="45">
        <v>400</v>
      </c>
      <c r="AI8" s="46">
        <v>208</v>
      </c>
    </row>
    <row r="9" spans="2:41" s="41" customFormat="1" ht="25" customHeight="1">
      <c r="B9" s="47" t="s">
        <v>30</v>
      </c>
      <c r="C9" s="358" t="s">
        <v>15</v>
      </c>
      <c r="D9" s="359"/>
      <c r="J9" s="299"/>
      <c r="K9" s="46"/>
      <c r="L9" s="46"/>
      <c r="M9" s="315" t="s">
        <v>315</v>
      </c>
      <c r="N9" s="41" t="s">
        <v>31</v>
      </c>
      <c r="O9" s="48">
        <f>INDEX(P9:Z9,1,MATCH(C$9,P$2:Z$2,0))</f>
        <v>70</v>
      </c>
      <c r="P9" s="49">
        <v>142</v>
      </c>
      <c r="Q9" s="49">
        <v>142</v>
      </c>
      <c r="R9" s="49">
        <v>160</v>
      </c>
      <c r="S9" s="49">
        <v>139</v>
      </c>
      <c r="T9" s="49">
        <v>100</v>
      </c>
      <c r="U9" s="49">
        <v>70</v>
      </c>
      <c r="V9" s="49">
        <v>170</v>
      </c>
      <c r="W9" s="49">
        <v>145</v>
      </c>
      <c r="X9" s="49">
        <v>140</v>
      </c>
      <c r="Y9" s="50">
        <v>161</v>
      </c>
      <c r="Z9" s="49">
        <v>283</v>
      </c>
      <c r="AA9" s="42"/>
      <c r="AB9" s="51"/>
      <c r="AC9" s="51"/>
      <c r="AD9" s="51"/>
      <c r="AE9" s="51"/>
      <c r="AF9" s="41" t="s">
        <v>32</v>
      </c>
      <c r="AG9" s="45">
        <v>162</v>
      </c>
      <c r="AI9" s="46">
        <v>220</v>
      </c>
    </row>
    <row r="10" spans="2:41" s="41" customFormat="1" ht="18" hidden="1" customHeight="1" thickBot="1">
      <c r="B10" s="52" t="s">
        <v>33</v>
      </c>
      <c r="C10" s="279">
        <v>115</v>
      </c>
      <c r="D10" s="280">
        <v>15</v>
      </c>
      <c r="E10" s="300">
        <f>$D$10</f>
        <v>15</v>
      </c>
      <c r="F10" s="53"/>
      <c r="G10" s="53"/>
      <c r="H10" s="53"/>
      <c r="I10" s="53"/>
      <c r="J10" s="301"/>
      <c r="K10" s="53"/>
      <c r="L10" s="53"/>
      <c r="M10" s="315"/>
      <c r="N10" s="41" t="s">
        <v>34</v>
      </c>
      <c r="O10" s="54">
        <f t="shared" ref="O10:O29" si="4">INDEX(P10:Z10,1,MATCH(C$9,P$2:Z$2,0))</f>
        <v>43</v>
      </c>
      <c r="P10" s="55">
        <v>17.8</v>
      </c>
      <c r="Q10" s="55">
        <v>17.8</v>
      </c>
      <c r="R10" s="55">
        <v>50</v>
      </c>
      <c r="S10" s="55">
        <v>45</v>
      </c>
      <c r="T10" s="55">
        <v>43</v>
      </c>
      <c r="U10" s="55">
        <v>43</v>
      </c>
      <c r="V10" s="55">
        <v>50</v>
      </c>
      <c r="W10" s="55">
        <v>40</v>
      </c>
      <c r="X10" s="55">
        <v>40</v>
      </c>
      <c r="Y10" s="56">
        <v>86</v>
      </c>
      <c r="Z10" s="55">
        <v>118</v>
      </c>
      <c r="AA10" s="57"/>
      <c r="AB10" s="51"/>
      <c r="AC10" s="51"/>
      <c r="AD10" s="51"/>
      <c r="AE10" s="51"/>
      <c r="AF10" s="41" t="s">
        <v>24</v>
      </c>
      <c r="AG10" s="45">
        <f>AG8-AG9</f>
        <v>238</v>
      </c>
      <c r="AI10" s="46">
        <v>230</v>
      </c>
    </row>
    <row r="11" spans="2:41" s="60" customFormat="1" ht="19.5" customHeight="1">
      <c r="B11" s="261"/>
      <c r="C11" s="360" t="s">
        <v>35</v>
      </c>
      <c r="D11" s="360"/>
      <c r="E11" s="360"/>
      <c r="F11" s="360"/>
      <c r="G11" s="360"/>
      <c r="H11" s="360"/>
      <c r="I11" s="360"/>
      <c r="J11" s="361"/>
      <c r="K11" s="362"/>
      <c r="L11" s="362"/>
      <c r="M11" s="315" t="s">
        <v>285</v>
      </c>
      <c r="N11" s="60" t="s">
        <v>36</v>
      </c>
      <c r="O11" s="61">
        <f t="shared" si="4"/>
        <v>145</v>
      </c>
      <c r="P11" s="62">
        <v>142</v>
      </c>
      <c r="Q11" s="62">
        <v>142</v>
      </c>
      <c r="R11" s="62">
        <v>160</v>
      </c>
      <c r="S11" s="62">
        <v>139</v>
      </c>
      <c r="T11" s="62">
        <v>145</v>
      </c>
      <c r="U11" s="62">
        <v>145</v>
      </c>
      <c r="V11" s="62">
        <v>169</v>
      </c>
      <c r="W11" s="62">
        <v>145</v>
      </c>
      <c r="X11" s="62">
        <v>145</v>
      </c>
      <c r="Y11" s="63">
        <v>161</v>
      </c>
      <c r="Z11" s="62">
        <v>283</v>
      </c>
      <c r="AA11" s="64"/>
      <c r="AG11" s="65">
        <f>-10*LOG10(AG9/AG8)</f>
        <v>3.9254497678533138</v>
      </c>
      <c r="AI11" s="66">
        <v>240</v>
      </c>
    </row>
    <row r="12" spans="2:41" s="60" customFormat="1" ht="15.9" thickBot="1">
      <c r="B12" s="58" t="s">
        <v>264</v>
      </c>
      <c r="C12" s="302">
        <v>1</v>
      </c>
      <c r="D12" s="302">
        <v>2</v>
      </c>
      <c r="E12" s="302">
        <v>3</v>
      </c>
      <c r="F12" s="302">
        <v>4</v>
      </c>
      <c r="G12" s="257">
        <v>5</v>
      </c>
      <c r="H12" s="256">
        <v>6</v>
      </c>
      <c r="I12" s="256">
        <v>7</v>
      </c>
      <c r="J12" s="303">
        <v>8</v>
      </c>
      <c r="K12" s="66"/>
      <c r="L12" s="66"/>
      <c r="M12" s="317"/>
      <c r="N12" s="60" t="s">
        <v>37</v>
      </c>
      <c r="O12" s="68">
        <f t="shared" si="4"/>
        <v>550</v>
      </c>
      <c r="P12" s="69">
        <v>90</v>
      </c>
      <c r="Q12" s="69">
        <v>128</v>
      </c>
      <c r="R12" s="69">
        <v>1200</v>
      </c>
      <c r="S12" s="69">
        <v>1100</v>
      </c>
      <c r="T12" s="69">
        <v>660</v>
      </c>
      <c r="U12" s="69">
        <v>550</v>
      </c>
      <c r="V12" s="69">
        <v>1200</v>
      </c>
      <c r="W12" s="69">
        <v>1100</v>
      </c>
      <c r="X12" s="69">
        <v>550</v>
      </c>
      <c r="Y12" s="70">
        <f>IF($C10*$E10&gt;5000,5000,($C10*$E10))</f>
        <v>1725</v>
      </c>
      <c r="Z12" s="71">
        <v>5000</v>
      </c>
      <c r="AA12" s="68"/>
    </row>
    <row r="13" spans="2:41" s="60" customFormat="1" ht="18" customHeight="1">
      <c r="B13" s="117" t="s">
        <v>281</v>
      </c>
      <c r="C13" s="295" t="s">
        <v>217</v>
      </c>
      <c r="D13" s="295" t="s">
        <v>217</v>
      </c>
      <c r="E13" s="295" t="s">
        <v>217</v>
      </c>
      <c r="F13" s="295" t="s">
        <v>217</v>
      </c>
      <c r="G13" s="77"/>
      <c r="H13" s="77"/>
      <c r="I13" s="77"/>
      <c r="J13" s="77"/>
      <c r="K13" s="66"/>
      <c r="L13" s="66"/>
      <c r="M13" s="315" t="s">
        <v>316</v>
      </c>
      <c r="O13" s="68"/>
      <c r="P13" s="69"/>
      <c r="Q13" s="69"/>
      <c r="R13" s="69"/>
      <c r="S13" s="69"/>
      <c r="T13" s="69"/>
      <c r="U13" s="69"/>
      <c r="V13" s="69"/>
      <c r="W13" s="69"/>
      <c r="X13" s="69"/>
      <c r="Y13" s="70"/>
      <c r="Z13" s="71"/>
      <c r="AA13" s="68"/>
    </row>
    <row r="14" spans="2:41" s="41" customFormat="1" ht="23.65" customHeight="1">
      <c r="B14" s="59" t="s">
        <v>280</v>
      </c>
      <c r="C14" s="274" t="s">
        <v>7</v>
      </c>
      <c r="D14" s="274" t="s">
        <v>7</v>
      </c>
      <c r="E14" s="274" t="s">
        <v>7</v>
      </c>
      <c r="F14" s="274" t="s">
        <v>7</v>
      </c>
      <c r="G14" s="86" t="s">
        <v>24</v>
      </c>
      <c r="H14" s="86" t="s">
        <v>24</v>
      </c>
      <c r="I14" s="86" t="s">
        <v>24</v>
      </c>
      <c r="J14" s="86" t="s">
        <v>24</v>
      </c>
      <c r="K14" s="78"/>
      <c r="L14" s="78"/>
      <c r="M14" s="315" t="s">
        <v>288</v>
      </c>
      <c r="N14" s="53"/>
      <c r="O14" s="42"/>
      <c r="P14" s="43"/>
      <c r="Q14" s="43"/>
      <c r="R14" s="43"/>
      <c r="S14" s="43"/>
      <c r="T14" s="43"/>
      <c r="U14" s="43"/>
      <c r="V14" s="43"/>
      <c r="W14" s="43"/>
      <c r="X14" s="43"/>
      <c r="Y14" s="79"/>
      <c r="Z14" s="80"/>
      <c r="AA14" s="42"/>
    </row>
    <row r="15" spans="2:41" s="60" customFormat="1" ht="19" hidden="1" customHeight="1">
      <c r="B15" s="59" t="s">
        <v>271</v>
      </c>
      <c r="C15" s="274" t="s">
        <v>7</v>
      </c>
      <c r="D15" s="274" t="s">
        <v>7</v>
      </c>
      <c r="E15" s="274" t="s">
        <v>7</v>
      </c>
      <c r="F15" s="274" t="s">
        <v>7</v>
      </c>
      <c r="G15" s="258"/>
      <c r="H15" s="258"/>
      <c r="I15" s="258"/>
      <c r="J15" s="258"/>
      <c r="K15" s="66"/>
      <c r="L15" s="66"/>
      <c r="M15" s="317"/>
      <c r="O15" s="68"/>
      <c r="P15" s="69"/>
      <c r="Q15" s="69"/>
      <c r="R15" s="69"/>
      <c r="S15" s="69"/>
      <c r="T15" s="69"/>
      <c r="U15" s="69"/>
      <c r="V15" s="69"/>
      <c r="W15" s="69"/>
      <c r="X15" s="69"/>
      <c r="Y15" s="70"/>
      <c r="Z15" s="71"/>
      <c r="AA15" s="68"/>
    </row>
    <row r="16" spans="2:41" s="41" customFormat="1" ht="15.6">
      <c r="B16" s="59" t="s">
        <v>290</v>
      </c>
      <c r="C16" s="275">
        <v>1</v>
      </c>
      <c r="D16" s="275">
        <v>1</v>
      </c>
      <c r="E16" s="275">
        <v>1</v>
      </c>
      <c r="F16" s="275">
        <v>1</v>
      </c>
      <c r="G16" s="90">
        <v>1</v>
      </c>
      <c r="H16" s="90">
        <v>1</v>
      </c>
      <c r="I16" s="90">
        <v>1</v>
      </c>
      <c r="J16" s="90">
        <v>1</v>
      </c>
      <c r="K16" s="363"/>
      <c r="L16" s="363"/>
      <c r="M16" s="315" t="s">
        <v>317</v>
      </c>
      <c r="N16" s="91" t="s">
        <v>55</v>
      </c>
      <c r="O16" s="92">
        <f>INDEX(P16:Z16,1,MATCH(C$9,P$2:Z$2,0))</f>
        <v>0.82</v>
      </c>
      <c r="P16" s="93">
        <v>0.75</v>
      </c>
      <c r="Q16" s="93">
        <v>0.79</v>
      </c>
      <c r="R16" s="93">
        <v>0.7</v>
      </c>
      <c r="S16" s="93">
        <v>0.82</v>
      </c>
      <c r="T16" s="93">
        <v>0.82</v>
      </c>
      <c r="U16" s="93">
        <v>0.82</v>
      </c>
      <c r="V16" s="93">
        <v>0.75</v>
      </c>
      <c r="W16" s="93">
        <v>0.82</v>
      </c>
      <c r="X16" s="93">
        <v>0.82</v>
      </c>
      <c r="Y16" s="94">
        <v>0.89</v>
      </c>
      <c r="Z16" s="95">
        <v>0.89</v>
      </c>
      <c r="AA16" s="92"/>
    </row>
    <row r="17" spans="2:32" s="60" customFormat="1" ht="15.6" hidden="1" customHeight="1">
      <c r="B17" s="59" t="s">
        <v>274</v>
      </c>
      <c r="C17" s="275">
        <v>1</v>
      </c>
      <c r="D17" s="275">
        <v>1</v>
      </c>
      <c r="E17" s="275">
        <v>1</v>
      </c>
      <c r="F17" s="275">
        <v>1</v>
      </c>
      <c r="G17" s="258"/>
      <c r="H17" s="258"/>
      <c r="I17" s="258"/>
      <c r="J17" s="258"/>
      <c r="K17" s="66"/>
      <c r="L17" s="66"/>
      <c r="M17" s="317"/>
      <c r="O17" s="68"/>
      <c r="P17" s="69"/>
      <c r="Q17" s="69"/>
      <c r="R17" s="69"/>
      <c r="S17" s="69"/>
      <c r="T17" s="69"/>
      <c r="U17" s="69"/>
      <c r="V17" s="69"/>
      <c r="W17" s="69"/>
      <c r="X17" s="69"/>
      <c r="Y17" s="70"/>
      <c r="Z17" s="71"/>
      <c r="AA17" s="68"/>
    </row>
    <row r="18" spans="2:32" s="342" customFormat="1" ht="24" customHeight="1">
      <c r="B18" s="59" t="s">
        <v>279</v>
      </c>
      <c r="C18" s="274">
        <v>16</v>
      </c>
      <c r="D18" s="274">
        <v>16</v>
      </c>
      <c r="E18" s="274">
        <v>16</v>
      </c>
      <c r="F18" s="274">
        <v>16</v>
      </c>
      <c r="G18" s="340"/>
      <c r="H18" s="340"/>
      <c r="I18" s="340"/>
      <c r="J18" s="340"/>
      <c r="K18" s="341"/>
      <c r="L18" s="341"/>
      <c r="M18" s="315" t="s">
        <v>289</v>
      </c>
      <c r="O18" s="343"/>
      <c r="P18" s="71"/>
      <c r="Q18" s="71"/>
      <c r="R18" s="71"/>
      <c r="S18" s="71"/>
      <c r="T18" s="71"/>
      <c r="U18" s="71"/>
      <c r="V18" s="71"/>
      <c r="W18" s="71"/>
      <c r="X18" s="71"/>
      <c r="Y18" s="344"/>
      <c r="Z18" s="71"/>
      <c r="AA18" s="343"/>
      <c r="AB18" s="262"/>
      <c r="AC18" s="263"/>
      <c r="AD18" s="263"/>
      <c r="AE18" s="263"/>
      <c r="AF18" s="264"/>
    </row>
    <row r="19" spans="2:32" s="60" customFormat="1" ht="21" hidden="1" customHeight="1">
      <c r="B19" s="59" t="s">
        <v>278</v>
      </c>
      <c r="C19" s="334">
        <f>VLOOKUP(C$13,Data!$D$22:$F$71,2,0)</f>
        <v>16</v>
      </c>
      <c r="D19" s="334">
        <f>VLOOKUP(D$13,Data!$D$22:$F$71,2,0)</f>
        <v>16</v>
      </c>
      <c r="E19" s="334">
        <f>VLOOKUP(E$13,Data!$D$22:$F$71,2,0)</f>
        <v>16</v>
      </c>
      <c r="F19" s="334">
        <f>VLOOKUP(F$13,Data!$D$22:$F$71,2,0)</f>
        <v>16</v>
      </c>
      <c r="G19" s="86"/>
      <c r="H19" s="86"/>
      <c r="I19" s="86"/>
      <c r="J19" s="86"/>
      <c r="K19" s="66"/>
      <c r="L19" s="66"/>
      <c r="M19" s="315"/>
      <c r="O19" s="68"/>
      <c r="P19" s="69"/>
      <c r="Q19" s="69"/>
      <c r="R19" s="69"/>
      <c r="S19" s="69"/>
      <c r="T19" s="69"/>
      <c r="U19" s="69"/>
      <c r="V19" s="69"/>
      <c r="W19" s="69"/>
      <c r="X19" s="69"/>
      <c r="Y19" s="70"/>
      <c r="Z19" s="71"/>
      <c r="AA19" s="68"/>
    </row>
    <row r="20" spans="2:32" s="60" customFormat="1" ht="25" hidden="1" customHeight="1">
      <c r="B20" s="58" t="s">
        <v>272</v>
      </c>
      <c r="C20" s="276">
        <f>VLOOKUP(C$13,Data!$D$22:$F$71,3,0)</f>
        <v>16</v>
      </c>
      <c r="D20" s="276">
        <f>VLOOKUP(D$13,Data!$D$22:$F$71,3,0)</f>
        <v>16</v>
      </c>
      <c r="E20" s="276">
        <f>VLOOKUP(E$13,Data!$D$22:$F$71,3,0)</f>
        <v>16</v>
      </c>
      <c r="F20" s="276">
        <f>VLOOKUP(F$13,Data!$D$22:$F$71,3,0)</f>
        <v>16</v>
      </c>
      <c r="G20" s="86"/>
      <c r="H20" s="86"/>
      <c r="I20" s="86"/>
      <c r="J20" s="86"/>
      <c r="K20" s="66"/>
      <c r="L20" s="66"/>
      <c r="M20" s="317"/>
      <c r="O20" s="68"/>
      <c r="P20" s="69"/>
      <c r="Q20" s="69"/>
      <c r="R20" s="69"/>
      <c r="S20" s="69"/>
      <c r="T20" s="69"/>
      <c r="U20" s="69"/>
      <c r="V20" s="69"/>
      <c r="W20" s="69"/>
      <c r="X20" s="69"/>
      <c r="Y20" s="70"/>
      <c r="Z20" s="71"/>
      <c r="AA20" s="68"/>
    </row>
    <row r="21" spans="2:32" s="60" customFormat="1" ht="20.65" hidden="1" customHeight="1">
      <c r="B21" s="58" t="s">
        <v>41</v>
      </c>
      <c r="C21" s="274">
        <f>IF(VLOOKUP(C$13,Data!$D$22:$L$71,4,0)="","",VLOOKUP(C$13,Data!$D$22:$L$71,4,0))</f>
        <v>16</v>
      </c>
      <c r="D21" s="274">
        <f>IF(VLOOKUP(D$13,Data!$D$22:$L$71,4,0)="","",VLOOKUP(D$13,Data!$D$22:$L$71,4,0))</f>
        <v>16</v>
      </c>
      <c r="E21" s="274">
        <f>IF(VLOOKUP(E$13,Data!$D$22:$L$71,4,0)="","",VLOOKUP(E$13,Data!$D$22:$L$71,4,0))</f>
        <v>16</v>
      </c>
      <c r="F21" s="274">
        <f>IF(VLOOKUP(F$13,Data!$D$22:$L$71,4,0)="","",VLOOKUP(F$13,Data!$D$22:$L$71,4,0))</f>
        <v>16</v>
      </c>
      <c r="G21" s="86"/>
      <c r="H21" s="86"/>
      <c r="I21" s="86"/>
      <c r="J21" s="86"/>
      <c r="K21" s="66"/>
      <c r="L21" s="66"/>
      <c r="M21" s="317"/>
      <c r="O21" s="68"/>
      <c r="P21" s="69"/>
      <c r="Q21" s="69"/>
      <c r="R21" s="69"/>
      <c r="S21" s="69"/>
      <c r="T21" s="69"/>
      <c r="U21" s="69"/>
      <c r="V21" s="69"/>
      <c r="W21" s="69"/>
      <c r="X21" s="69"/>
      <c r="Y21" s="70"/>
      <c r="Z21" s="71"/>
      <c r="AA21" s="68"/>
      <c r="AB21" s="262" t="s">
        <v>42</v>
      </c>
      <c r="AC21" s="263" t="s">
        <v>43</v>
      </c>
      <c r="AD21" s="263" t="s">
        <v>44</v>
      </c>
      <c r="AE21" s="263" t="s">
        <v>45</v>
      </c>
      <c r="AF21" s="264" t="s">
        <v>46</v>
      </c>
    </row>
    <row r="22" spans="2:32" s="60" customFormat="1" ht="12.4" hidden="1" customHeight="1">
      <c r="B22" s="58" t="s">
        <v>47</v>
      </c>
      <c r="C22" s="274">
        <f>IF(VLOOKUP(C$13,Data!$D$22:$L$71,5,0)="","",VLOOKUP(C$13,Data!$D$22:$L$71,5,0))</f>
        <v>8</v>
      </c>
      <c r="D22" s="274">
        <f>IF(VLOOKUP(D$13,Data!$D$22:$L$71,5,0)="","",VLOOKUP(D$13,Data!$D$22:$L$71,5,0))</f>
        <v>8</v>
      </c>
      <c r="E22" s="274">
        <f>IF(VLOOKUP(E$13,Data!$D$22:$L$71,5,0)="","",VLOOKUP(E$13,Data!$D$22:$L$71,5,0))</f>
        <v>8</v>
      </c>
      <c r="F22" s="274">
        <f>IF(VLOOKUP(F$13,Data!$D$22:$L$71,5,0)="","",VLOOKUP(F$13,Data!$D$22:$L$71,5,0))</f>
        <v>8</v>
      </c>
      <c r="G22" s="86"/>
      <c r="H22" s="86"/>
      <c r="I22" s="86"/>
      <c r="J22" s="86"/>
      <c r="K22" s="66"/>
      <c r="L22" s="66"/>
      <c r="M22" s="317"/>
      <c r="O22" s="68"/>
      <c r="P22" s="69"/>
      <c r="Q22" s="69"/>
      <c r="R22" s="69"/>
      <c r="S22" s="69"/>
      <c r="T22" s="69"/>
      <c r="U22" s="69"/>
      <c r="V22" s="69"/>
      <c r="W22" s="69"/>
      <c r="X22" s="69"/>
      <c r="Y22" s="70"/>
      <c r="Z22" s="71"/>
      <c r="AA22" s="68"/>
      <c r="AB22" s="72" t="s">
        <v>48</v>
      </c>
      <c r="AC22" s="73">
        <v>14</v>
      </c>
      <c r="AD22" s="74">
        <v>12</v>
      </c>
      <c r="AE22" s="75">
        <v>2</v>
      </c>
      <c r="AF22" s="76">
        <v>0.7</v>
      </c>
    </row>
    <row r="23" spans="2:32" s="60" customFormat="1" ht="18.399999999999999" hidden="1" customHeight="1">
      <c r="B23" s="58" t="s">
        <v>47</v>
      </c>
      <c r="C23" s="274">
        <f>IF(VLOOKUP(C$13,Data!$D$22:$L$71,6,0)="","",VLOOKUP(C$13,Data!$D$22:$L$71,6,0))</f>
        <v>4</v>
      </c>
      <c r="D23" s="274">
        <f>IF(VLOOKUP(D$13,Data!$D$22:$L$71,6,0)="","",VLOOKUP(D$13,Data!$D$22:$L$71,6,0))</f>
        <v>4</v>
      </c>
      <c r="E23" s="274">
        <f>IF(VLOOKUP(E$13,Data!$D$22:$L$71,6,0)="","",VLOOKUP(E$13,Data!$D$22:$L$71,6,0))</f>
        <v>4</v>
      </c>
      <c r="F23" s="274">
        <f>IF(VLOOKUP(F$13,Data!$D$22:$L$71,6,0)="","",VLOOKUP(F$13,Data!$D$22:$L$71,6,0))</f>
        <v>4</v>
      </c>
      <c r="G23" s="86"/>
      <c r="H23" s="86"/>
      <c r="I23" s="86"/>
      <c r="J23" s="86"/>
      <c r="K23" s="66"/>
      <c r="L23" s="66"/>
      <c r="M23" s="317"/>
      <c r="O23" s="68"/>
      <c r="P23" s="69"/>
      <c r="Q23" s="69"/>
      <c r="R23" s="69"/>
      <c r="S23" s="69"/>
      <c r="T23" s="69"/>
      <c r="U23" s="69"/>
      <c r="V23" s="69"/>
      <c r="W23" s="69"/>
      <c r="X23" s="69"/>
      <c r="Y23" s="70"/>
      <c r="Z23" s="71"/>
      <c r="AA23" s="68"/>
      <c r="AB23" s="81" t="s">
        <v>49</v>
      </c>
      <c r="AC23" s="82">
        <f>AD23+AE23</f>
        <v>15.4</v>
      </c>
      <c r="AD23" s="83">
        <v>14</v>
      </c>
      <c r="AE23" s="84">
        <v>1.4</v>
      </c>
      <c r="AF23" s="85">
        <v>0.65</v>
      </c>
    </row>
    <row r="24" spans="2:32" s="60" customFormat="1" ht="16.899999999999999" hidden="1" customHeight="1">
      <c r="B24" s="58" t="s">
        <v>47</v>
      </c>
      <c r="C24" s="274">
        <f>IF(VLOOKUP(C$13,Data!$D$22:$L$71,7,0)="","",VLOOKUP(C$13,Data!$D$22:$L$71,7,0))</f>
        <v>2</v>
      </c>
      <c r="D24" s="274">
        <f>IF(VLOOKUP(D$13,Data!$D$22:$L$71,7,0)="","",VLOOKUP(D$13,Data!$D$22:$L$71,7,0))</f>
        <v>2</v>
      </c>
      <c r="E24" s="274">
        <f>IF(VLOOKUP(E$13,Data!$D$22:$L$71,7,0)="","",VLOOKUP(E$13,Data!$D$22:$L$71,7,0))</f>
        <v>2</v>
      </c>
      <c r="F24" s="274">
        <f>IF(VLOOKUP(F$13,Data!$D$22:$L$71,7,0)="","",VLOOKUP(F$13,Data!$D$22:$L$71,7,0))</f>
        <v>2</v>
      </c>
      <c r="G24" s="86"/>
      <c r="H24" s="86"/>
      <c r="I24" s="86"/>
      <c r="J24" s="86"/>
      <c r="K24" s="66"/>
      <c r="L24" s="66"/>
      <c r="M24" s="317"/>
      <c r="O24" s="68"/>
      <c r="P24" s="69"/>
      <c r="Q24" s="69"/>
      <c r="R24" s="69"/>
      <c r="S24" s="69"/>
      <c r="T24" s="69"/>
      <c r="U24" s="69"/>
      <c r="V24" s="69"/>
      <c r="W24" s="69"/>
      <c r="X24" s="69"/>
      <c r="Y24" s="70"/>
      <c r="Z24" s="71"/>
      <c r="AA24" s="68"/>
      <c r="AB24" s="81" t="s">
        <v>50</v>
      </c>
      <c r="AC24" s="82">
        <f>AD24+AE24</f>
        <v>17.2</v>
      </c>
      <c r="AD24" s="87">
        <v>16</v>
      </c>
      <c r="AE24" s="88">
        <v>1.2</v>
      </c>
      <c r="AF24" s="85">
        <v>0.6</v>
      </c>
    </row>
    <row r="25" spans="2:32" s="60" customFormat="1" ht="15" hidden="1" customHeight="1">
      <c r="B25" s="58" t="s">
        <v>47</v>
      </c>
      <c r="C25" s="274">
        <f>IF(VLOOKUP(C$13,Data!$D$22:$L$71,8,0)="","",VLOOKUP(C$13,Data!$D$22:$L$71,8,0))</f>
        <v>1</v>
      </c>
      <c r="D25" s="274">
        <f>IF(VLOOKUP(D$13,Data!$D$22:$L$71,8,0)="","",VLOOKUP(D$13,Data!$D$22:$L$71,8,0))</f>
        <v>1</v>
      </c>
      <c r="E25" s="274">
        <f>IF(VLOOKUP(E$13,Data!$D$22:$L$71,8,0)="","",VLOOKUP(E$13,Data!$D$22:$L$71,8,0))</f>
        <v>1</v>
      </c>
      <c r="F25" s="274">
        <f>IF(VLOOKUP(F$13,Data!$D$22:$L$71,8,0)="","",VLOOKUP(F$13,Data!$D$22:$L$71,8,0))</f>
        <v>1</v>
      </c>
      <c r="G25" s="86"/>
      <c r="H25" s="86"/>
      <c r="I25" s="86"/>
      <c r="J25" s="86"/>
      <c r="K25" s="66"/>
      <c r="L25" s="66"/>
      <c r="M25" s="315" t="s">
        <v>51</v>
      </c>
      <c r="O25" s="68"/>
      <c r="P25" s="69"/>
      <c r="Q25" s="69"/>
      <c r="R25" s="69"/>
      <c r="S25" s="69"/>
      <c r="T25" s="69"/>
      <c r="U25" s="69"/>
      <c r="V25" s="69"/>
      <c r="W25" s="69"/>
      <c r="X25" s="69"/>
      <c r="Y25" s="70"/>
      <c r="Z25" s="71"/>
      <c r="AA25" s="68"/>
      <c r="AB25" s="81" t="s">
        <v>52</v>
      </c>
      <c r="AC25" s="82">
        <f>AD25+AE25</f>
        <v>19.8</v>
      </c>
      <c r="AD25" s="83">
        <v>19</v>
      </c>
      <c r="AE25" s="84">
        <v>0.8</v>
      </c>
      <c r="AF25" s="85">
        <v>0.55000000000000004</v>
      </c>
    </row>
    <row r="26" spans="2:32" s="60" customFormat="1" ht="16.899999999999999" hidden="1" customHeight="1">
      <c r="B26" s="58" t="s">
        <v>47</v>
      </c>
      <c r="C26" s="274" t="str">
        <f>IF(VLOOKUP(C$13,Data!$D$22:$L$71,9,0)="","",VLOOKUP(C$13,Data!$D$22:$L$71,9,0))</f>
        <v/>
      </c>
      <c r="D26" s="274" t="str">
        <f>IF(VLOOKUP(D$13,Data!$D$22:$L$71,9,0)="","",VLOOKUP(D$13,Data!$D$22:$L$71,9,0))</f>
        <v/>
      </c>
      <c r="E26" s="274" t="str">
        <f>IF(VLOOKUP(E$13,Data!$D$22:$L$71,9,0)="","",VLOOKUP(E$13,Data!$D$22:$L$71,9,0))</f>
        <v/>
      </c>
      <c r="F26" s="274" t="str">
        <f>IF(VLOOKUP(F$13,Data!$D$22:$L$71,9,0)="","",VLOOKUP(F$13,Data!$D$22:$L$71,9,0))</f>
        <v/>
      </c>
      <c r="G26" s="86"/>
      <c r="H26" s="86"/>
      <c r="I26" s="86"/>
      <c r="J26" s="86"/>
      <c r="K26" s="66"/>
      <c r="L26" s="66"/>
      <c r="M26" s="317"/>
      <c r="O26" s="68"/>
      <c r="P26" s="69"/>
      <c r="Q26" s="69"/>
      <c r="R26" s="69"/>
      <c r="S26" s="69"/>
      <c r="T26" s="69"/>
      <c r="U26" s="69"/>
      <c r="V26" s="69"/>
      <c r="W26" s="69"/>
      <c r="X26" s="69"/>
      <c r="Y26" s="70"/>
      <c r="Z26" s="71"/>
      <c r="AA26" s="68"/>
      <c r="AB26" s="96" t="s">
        <v>53</v>
      </c>
      <c r="AC26" s="97">
        <f>AD26+AE26</f>
        <v>16.820599913279622</v>
      </c>
      <c r="AD26" s="98">
        <f>10*LOG10(40)</f>
        <v>16.020599913279622</v>
      </c>
      <c r="AE26" s="99">
        <v>0.8</v>
      </c>
      <c r="AF26" s="100">
        <v>0.6</v>
      </c>
    </row>
    <row r="27" spans="2:32" s="60" customFormat="1" ht="15" hidden="1" customHeight="1">
      <c r="B27" s="58" t="s">
        <v>273</v>
      </c>
      <c r="C27" s="274" t="str">
        <f>VLOOKUP(C$13,Data!$D$22:$M$71,10,0)</f>
        <v>FR</v>
      </c>
      <c r="D27" s="274" t="str">
        <f>VLOOKUP(D$13,Data!$D$22:$M$71,10,0)</f>
        <v>FR</v>
      </c>
      <c r="E27" s="274" t="str">
        <f>VLOOKUP(E$13,Data!$D$22:$M$71,10,0)</f>
        <v>FR</v>
      </c>
      <c r="F27" s="274" t="str">
        <f>VLOOKUP(F$13,Data!$D$22:$M$71,10,0)</f>
        <v>FR</v>
      </c>
      <c r="G27" s="86"/>
      <c r="H27" s="86"/>
      <c r="I27" s="86"/>
      <c r="J27" s="86"/>
      <c r="K27" s="66"/>
      <c r="L27" s="66"/>
      <c r="M27" s="315"/>
      <c r="O27" s="68"/>
      <c r="P27" s="69"/>
      <c r="Q27" s="69"/>
      <c r="R27" s="69"/>
      <c r="S27" s="69"/>
      <c r="T27" s="69"/>
      <c r="U27" s="69"/>
      <c r="V27" s="69"/>
      <c r="W27" s="69"/>
      <c r="X27" s="69"/>
      <c r="Y27" s="70"/>
      <c r="Z27" s="71"/>
      <c r="AA27" s="68"/>
      <c r="AB27" s="81"/>
      <c r="AC27" s="82"/>
      <c r="AD27" s="259"/>
      <c r="AE27" s="260"/>
      <c r="AF27" s="85"/>
    </row>
    <row r="28" spans="2:32" s="41" customFormat="1" ht="15.9" thickBot="1">
      <c r="B28" s="59" t="s">
        <v>284</v>
      </c>
      <c r="C28" s="336">
        <f>C20</f>
        <v>16</v>
      </c>
      <c r="D28" s="336">
        <f>D20</f>
        <v>16</v>
      </c>
      <c r="E28" s="336">
        <f>E20</f>
        <v>16</v>
      </c>
      <c r="F28" s="336">
        <f>F20</f>
        <v>16</v>
      </c>
      <c r="G28" s="89">
        <v>4</v>
      </c>
      <c r="H28" s="89">
        <v>4</v>
      </c>
      <c r="I28" s="89">
        <v>4</v>
      </c>
      <c r="J28" s="89">
        <v>4</v>
      </c>
      <c r="K28" s="78"/>
      <c r="L28" s="78"/>
      <c r="M28" s="315" t="s">
        <v>286</v>
      </c>
      <c r="N28" s="53"/>
      <c r="O28" s="42">
        <f>INDEX(P28:Z28,1,MATCH(C$9,P$2:Z$2,0))</f>
        <v>990</v>
      </c>
      <c r="P28" s="43">
        <f t="shared" ref="P28:X28" si="5">0.9*P8</f>
        <v>288</v>
      </c>
      <c r="Q28" s="43">
        <f t="shared" si="5"/>
        <v>540</v>
      </c>
      <c r="R28" s="43">
        <f t="shared" si="5"/>
        <v>3150</v>
      </c>
      <c r="S28" s="43">
        <f t="shared" si="5"/>
        <v>1980</v>
      </c>
      <c r="T28" s="43">
        <f t="shared" si="5"/>
        <v>1080</v>
      </c>
      <c r="U28" s="43">
        <f t="shared" si="5"/>
        <v>990</v>
      </c>
      <c r="V28" s="43">
        <f t="shared" si="5"/>
        <v>2070</v>
      </c>
      <c r="W28" s="43">
        <f t="shared" si="5"/>
        <v>1890</v>
      </c>
      <c r="X28" s="43">
        <f t="shared" si="5"/>
        <v>1080</v>
      </c>
      <c r="Y28" s="79">
        <v>5400</v>
      </c>
      <c r="Z28" s="80">
        <v>10000</v>
      </c>
      <c r="AA28" s="42"/>
    </row>
    <row r="29" spans="2:32" s="41" customFormat="1" ht="26.5" customHeight="1">
      <c r="B29" s="58" t="s">
        <v>276</v>
      </c>
      <c r="C29" s="335">
        <f>IF(C14="Lo-Z",C19,IF(C14="70V",C18,IF(C14="100V",C18,"")))</f>
        <v>16</v>
      </c>
      <c r="D29" s="335">
        <f>IF(D14="Lo-Z",D19,IF(D14="70V",D18,IF(D14="100V",D18,"")))</f>
        <v>16</v>
      </c>
      <c r="E29" s="335">
        <f>IF(E14="Lo-Z",E19,IF(E14="70V",E18,IF(E14="100V",E18,"")))</f>
        <v>16</v>
      </c>
      <c r="F29" s="335">
        <f>IF(F14="Lo-Z",F19,IF(F14="70V",F18,IF(F14="100V",F18,"")))</f>
        <v>16</v>
      </c>
      <c r="G29" s="77">
        <v>100</v>
      </c>
      <c r="H29" s="77">
        <v>100</v>
      </c>
      <c r="I29" s="77">
        <v>100</v>
      </c>
      <c r="J29" s="77">
        <v>100</v>
      </c>
      <c r="K29" s="78"/>
      <c r="L29" s="78"/>
      <c r="M29" s="315" t="s">
        <v>287</v>
      </c>
      <c r="N29" s="41" t="s">
        <v>54</v>
      </c>
      <c r="O29" s="42">
        <f t="shared" si="4"/>
        <v>300</v>
      </c>
      <c r="P29" s="43">
        <v>36</v>
      </c>
      <c r="Q29" s="43">
        <v>68</v>
      </c>
      <c r="R29" s="43">
        <v>550</v>
      </c>
      <c r="S29" s="43">
        <v>550</v>
      </c>
      <c r="T29" s="43">
        <v>300</v>
      </c>
      <c r="U29" s="43">
        <v>300</v>
      </c>
      <c r="V29" s="43">
        <v>550</v>
      </c>
      <c r="W29" s="43">
        <v>550</v>
      </c>
      <c r="X29" s="43">
        <v>300</v>
      </c>
      <c r="Y29" s="79">
        <f>Y28/4</f>
        <v>1350</v>
      </c>
      <c r="Z29" s="80">
        <f>Z28/4</f>
        <v>2500</v>
      </c>
      <c r="AA29" s="42"/>
    </row>
    <row r="30" spans="2:32" s="41" customFormat="1" ht="15" hidden="1" customHeight="1">
      <c r="B30" s="59" t="s">
        <v>273</v>
      </c>
      <c r="C30" s="277" t="str">
        <f>C27</f>
        <v>FR</v>
      </c>
      <c r="D30" s="277" t="str">
        <f>D27</f>
        <v>FR</v>
      </c>
      <c r="E30" s="277" t="str">
        <f>E27</f>
        <v>FR</v>
      </c>
      <c r="F30" s="277" t="str">
        <f>F27</f>
        <v>FR</v>
      </c>
      <c r="G30" s="101" t="s">
        <v>48</v>
      </c>
      <c r="H30" s="101" t="s">
        <v>48</v>
      </c>
      <c r="I30" s="101" t="s">
        <v>48</v>
      </c>
      <c r="J30" s="101" t="s">
        <v>48</v>
      </c>
      <c r="K30" s="364"/>
      <c r="L30" s="364"/>
      <c r="M30" s="315" t="s">
        <v>56</v>
      </c>
      <c r="N30" s="53" t="s">
        <v>57</v>
      </c>
      <c r="O30" s="48">
        <f t="shared" ref="O30:O34" si="6">INDEX(P30:Z30,1,MATCH(C$9,P$2:Z$2,0))</f>
        <v>145</v>
      </c>
      <c r="P30" s="102">
        <v>73</v>
      </c>
      <c r="Q30" s="102">
        <v>98</v>
      </c>
      <c r="R30" s="102">
        <v>163</v>
      </c>
      <c r="S30" s="102">
        <v>145</v>
      </c>
      <c r="T30" s="102">
        <v>145</v>
      </c>
      <c r="U30" s="102">
        <v>145</v>
      </c>
      <c r="V30" s="102">
        <v>167</v>
      </c>
      <c r="W30" s="102">
        <v>145</v>
      </c>
      <c r="X30" s="102">
        <v>140</v>
      </c>
      <c r="Y30" s="103">
        <v>161</v>
      </c>
      <c r="Z30" s="104">
        <v>283</v>
      </c>
      <c r="AA30" s="48"/>
      <c r="AC30" s="105"/>
    </row>
    <row r="31" spans="2:32" s="41" customFormat="1" ht="29.25" hidden="1" customHeight="1">
      <c r="B31" s="59" t="s">
        <v>275</v>
      </c>
      <c r="C31" s="278">
        <f t="shared" ref="C31:J31" si="7">INDEX($AC$22:$AC$30,MATCH(C$30,$AB$22:$AB$30,0),1)</f>
        <v>16.820599913279622</v>
      </c>
      <c r="D31" s="278">
        <f t="shared" si="7"/>
        <v>16.820599913279622</v>
      </c>
      <c r="E31" s="278">
        <f t="shared" si="7"/>
        <v>16.820599913279622</v>
      </c>
      <c r="F31" s="278">
        <f t="shared" si="7"/>
        <v>16.820599913279622</v>
      </c>
      <c r="G31" s="106">
        <f t="shared" si="7"/>
        <v>14</v>
      </c>
      <c r="H31" s="106">
        <f t="shared" si="7"/>
        <v>14</v>
      </c>
      <c r="I31" s="106">
        <f t="shared" si="7"/>
        <v>14</v>
      </c>
      <c r="J31" s="106">
        <f t="shared" si="7"/>
        <v>14</v>
      </c>
      <c r="K31" s="107"/>
      <c r="L31" s="46"/>
      <c r="M31" s="318" t="s">
        <v>58</v>
      </c>
      <c r="N31" s="91" t="s">
        <v>59</v>
      </c>
      <c r="O31" s="92">
        <f t="shared" si="6"/>
        <v>0.49</v>
      </c>
      <c r="P31" s="93">
        <v>0.63</v>
      </c>
      <c r="Q31" s="93">
        <v>0.66</v>
      </c>
      <c r="R31" s="93">
        <v>0.62</v>
      </c>
      <c r="S31" s="93">
        <v>0.49</v>
      </c>
      <c r="T31" s="93">
        <v>0.49</v>
      </c>
      <c r="U31" s="93">
        <v>0.49</v>
      </c>
      <c r="V31" s="93">
        <v>0.63</v>
      </c>
      <c r="W31" s="93">
        <v>0.49</v>
      </c>
      <c r="X31" s="93">
        <v>0.49</v>
      </c>
      <c r="Y31" s="94">
        <v>0.87</v>
      </c>
      <c r="Z31" s="95">
        <v>0.87</v>
      </c>
      <c r="AA31" s="92"/>
      <c r="AB31" s="108"/>
      <c r="AC31" s="352" t="s">
        <v>60</v>
      </c>
      <c r="AD31" s="353"/>
      <c r="AE31" s="352" t="s">
        <v>61</v>
      </c>
      <c r="AF31" s="353"/>
    </row>
    <row r="32" spans="2:32" s="41" customFormat="1" ht="15.9" thickBot="1">
      <c r="B32" s="109" t="s">
        <v>277</v>
      </c>
      <c r="C32" s="281">
        <v>0</v>
      </c>
      <c r="D32" s="281">
        <v>0</v>
      </c>
      <c r="E32" s="281">
        <v>0</v>
      </c>
      <c r="F32" s="281">
        <v>0</v>
      </c>
      <c r="G32" s="110">
        <v>100</v>
      </c>
      <c r="H32" s="110">
        <v>0</v>
      </c>
      <c r="I32" s="110">
        <v>0</v>
      </c>
      <c r="J32" s="110">
        <v>0</v>
      </c>
      <c r="K32" s="111"/>
      <c r="L32" s="111"/>
      <c r="M32" s="315"/>
      <c r="N32" s="112" t="s">
        <v>62</v>
      </c>
      <c r="O32" s="48">
        <v>1.5</v>
      </c>
      <c r="P32" s="49">
        <v>39</v>
      </c>
      <c r="Q32" s="49">
        <v>28.5</v>
      </c>
      <c r="R32" s="49">
        <v>78</v>
      </c>
      <c r="S32" s="49">
        <v>60</v>
      </c>
      <c r="T32" s="49">
        <v>400</v>
      </c>
      <c r="U32" s="49">
        <v>10</v>
      </c>
      <c r="V32" s="49">
        <v>78</v>
      </c>
      <c r="W32" s="49">
        <v>60</v>
      </c>
      <c r="X32" s="49">
        <v>60</v>
      </c>
      <c r="Y32" s="103">
        <v>56</v>
      </c>
      <c r="Z32" s="104">
        <v>173</v>
      </c>
      <c r="AA32" s="113"/>
      <c r="AB32" s="114" t="s">
        <v>42</v>
      </c>
      <c r="AC32" s="115" t="s">
        <v>63</v>
      </c>
      <c r="AD32" s="116" t="s">
        <v>64</v>
      </c>
      <c r="AE32" s="115" t="s">
        <v>63</v>
      </c>
      <c r="AF32" s="116" t="s">
        <v>64</v>
      </c>
    </row>
    <row r="33" spans="2:42" s="60" customFormat="1" ht="15.6">
      <c r="B33" s="117" t="s">
        <v>65</v>
      </c>
      <c r="C33" s="354" t="s">
        <v>35</v>
      </c>
      <c r="D33" s="354"/>
      <c r="E33" s="354"/>
      <c r="F33" s="354"/>
      <c r="G33" s="354"/>
      <c r="H33" s="354"/>
      <c r="I33" s="354"/>
      <c r="J33" s="355"/>
      <c r="K33" s="118" t="s">
        <v>66</v>
      </c>
      <c r="L33" s="118" t="s">
        <v>67</v>
      </c>
      <c r="M33" s="317"/>
      <c r="N33" s="60" t="s">
        <v>68</v>
      </c>
      <c r="O33" s="60">
        <f t="shared" si="6"/>
        <v>2.444444444444444E-3</v>
      </c>
      <c r="P33" s="119">
        <f t="shared" ref="P33:Z33" si="8">(P16-P31)/(P30-P32)</f>
        <v>3.529411764705882E-3</v>
      </c>
      <c r="Q33" s="119">
        <f t="shared" si="8"/>
        <v>1.8705035971223023E-3</v>
      </c>
      <c r="R33" s="119">
        <f t="shared" si="8"/>
        <v>9.4117647058823478E-4</v>
      </c>
      <c r="S33" s="119">
        <f t="shared" si="8"/>
        <v>3.88235294117647E-3</v>
      </c>
      <c r="T33" s="119">
        <f t="shared" si="8"/>
        <v>-1.2941176470588234E-3</v>
      </c>
      <c r="U33" s="119">
        <f t="shared" si="8"/>
        <v>2.444444444444444E-3</v>
      </c>
      <c r="V33" s="119">
        <f t="shared" si="8"/>
        <v>1.348314606741573E-3</v>
      </c>
      <c r="W33" s="119">
        <f t="shared" si="8"/>
        <v>3.88235294117647E-3</v>
      </c>
      <c r="X33" s="119">
        <f t="shared" si="8"/>
        <v>4.1249999999999993E-3</v>
      </c>
      <c r="Y33" s="60">
        <f t="shared" si="8"/>
        <v>1.9047619047619064E-4</v>
      </c>
      <c r="Z33" s="119">
        <f t="shared" si="8"/>
        <v>1.8181818181818197E-4</v>
      </c>
      <c r="AA33" s="64"/>
      <c r="AB33" s="72" t="s">
        <v>48</v>
      </c>
      <c r="AC33" s="120" t="s">
        <v>69</v>
      </c>
      <c r="AD33" s="121" t="s">
        <v>70</v>
      </c>
      <c r="AE33" s="120" t="s">
        <v>71</v>
      </c>
      <c r="AF33" s="121" t="s">
        <v>72</v>
      </c>
    </row>
    <row r="34" spans="2:42" s="60" customFormat="1" ht="15.6">
      <c r="B34" s="59"/>
      <c r="C34" s="122">
        <f t="shared" ref="C34:J34" si="9">C12</f>
        <v>1</v>
      </c>
      <c r="D34" s="122">
        <f t="shared" si="9"/>
        <v>2</v>
      </c>
      <c r="E34" s="122">
        <f t="shared" si="9"/>
        <v>3</v>
      </c>
      <c r="F34" s="122">
        <f t="shared" si="9"/>
        <v>4</v>
      </c>
      <c r="G34" s="122">
        <f t="shared" si="9"/>
        <v>5</v>
      </c>
      <c r="H34" s="122">
        <f t="shared" si="9"/>
        <v>6</v>
      </c>
      <c r="I34" s="122">
        <f t="shared" si="9"/>
        <v>7</v>
      </c>
      <c r="J34" s="123">
        <f t="shared" si="9"/>
        <v>8</v>
      </c>
      <c r="K34" s="122"/>
      <c r="L34" s="122"/>
      <c r="M34" s="316"/>
      <c r="N34" s="60" t="s">
        <v>73</v>
      </c>
      <c r="O34" s="124">
        <f t="shared" si="6"/>
        <v>0.46555555555555556</v>
      </c>
      <c r="P34" s="125">
        <f t="shared" ref="P34:Z34" si="10">P16-P30*P33</f>
        <v>0.4923529411764706</v>
      </c>
      <c r="Q34" s="125">
        <f t="shared" si="10"/>
        <v>0.6066906474820144</v>
      </c>
      <c r="R34" s="125">
        <f t="shared" si="10"/>
        <v>0.54658823529411771</v>
      </c>
      <c r="S34" s="125">
        <f t="shared" si="10"/>
        <v>0.25705882352941178</v>
      </c>
      <c r="T34" s="125">
        <f t="shared" si="10"/>
        <v>1.0076470588235293</v>
      </c>
      <c r="U34" s="125">
        <f t="shared" si="10"/>
        <v>0.46555555555555556</v>
      </c>
      <c r="V34" s="125">
        <f t="shared" si="10"/>
        <v>0.52483146067415731</v>
      </c>
      <c r="W34" s="125">
        <f t="shared" si="10"/>
        <v>0.25705882352941178</v>
      </c>
      <c r="X34" s="125">
        <f t="shared" si="10"/>
        <v>0.24250000000000005</v>
      </c>
      <c r="Y34" s="124">
        <f t="shared" si="10"/>
        <v>0.85933333333333328</v>
      </c>
      <c r="Z34" s="125">
        <f t="shared" si="10"/>
        <v>0.83854545454545448</v>
      </c>
      <c r="AB34" s="72" t="s">
        <v>49</v>
      </c>
      <c r="AC34" s="120" t="s">
        <v>74</v>
      </c>
      <c r="AD34" s="121" t="s">
        <v>75</v>
      </c>
      <c r="AE34" s="120" t="s">
        <v>76</v>
      </c>
      <c r="AF34" s="121" t="s">
        <v>71</v>
      </c>
    </row>
    <row r="35" spans="2:42" s="60" customFormat="1" ht="15.6">
      <c r="B35" s="59" t="s">
        <v>283</v>
      </c>
      <c r="C35" s="126">
        <f t="shared" ref="C35:J35" si="11">IF(C14=$G6,0.0000001,C29*IF(C14=$G2,2,1)*C16*10^(C32/10))</f>
        <v>32</v>
      </c>
      <c r="D35" s="126">
        <f t="shared" si="11"/>
        <v>32</v>
      </c>
      <c r="E35" s="126">
        <f t="shared" si="11"/>
        <v>32</v>
      </c>
      <c r="F35" s="126">
        <f t="shared" si="11"/>
        <v>32</v>
      </c>
      <c r="G35" s="126">
        <f t="shared" si="11"/>
        <v>9.9999999999999995E-8</v>
      </c>
      <c r="H35" s="126">
        <f t="shared" si="11"/>
        <v>9.9999999999999995E-8</v>
      </c>
      <c r="I35" s="126">
        <f t="shared" si="11"/>
        <v>9.9999999999999995E-8</v>
      </c>
      <c r="J35" s="127">
        <f t="shared" si="11"/>
        <v>9.9999999999999995E-8</v>
      </c>
      <c r="K35" s="126">
        <f>SUM(C35:J35)</f>
        <v>128.00000039999998</v>
      </c>
      <c r="L35" s="128">
        <f>10*LOG10(O$3/K35)</f>
        <v>9.7197127504258631</v>
      </c>
      <c r="M35" s="319" t="s">
        <v>263</v>
      </c>
      <c r="P35" s="129"/>
      <c r="Q35" s="129"/>
      <c r="R35" s="119"/>
      <c r="S35" s="119"/>
      <c r="T35" s="119"/>
      <c r="U35" s="119"/>
      <c r="V35" s="119"/>
      <c r="W35" s="119"/>
      <c r="X35" s="119"/>
      <c r="Z35" s="129"/>
      <c r="AA35" s="124"/>
      <c r="AB35" s="72" t="s">
        <v>50</v>
      </c>
      <c r="AC35" s="120" t="s">
        <v>77</v>
      </c>
      <c r="AD35" s="121" t="s">
        <v>78</v>
      </c>
      <c r="AE35" s="120" t="s">
        <v>79</v>
      </c>
      <c r="AF35" s="121" t="s">
        <v>80</v>
      </c>
    </row>
    <row r="36" spans="2:42" s="60" customFormat="1" ht="27.6" hidden="1" customHeight="1">
      <c r="B36" s="337" t="s">
        <v>266</v>
      </c>
      <c r="C36" s="338" cm="1">
        <f t="array" ref="C36">_xlfn.IFS($C$9="PowerShare PSX1204D",$U$8-C35,$C$9="PowerShare PSX2404D",$T$8-C35,$C$9="PowerShare PSX4804D",$S$8-C35,TRUE,$U$8-C35)</f>
        <v>1068</v>
      </c>
      <c r="D36" s="338" cm="1">
        <f t="array" ref="D36">_xlfn.IFS($C$9="PowerShare PSX1204D",$U$8-D35,$C$9="PowerShare PSX2404D",$T$8-D35,$C$9="PowerShare PSX4804D",$S$8-D35,TRUE,$U$8-D35)</f>
        <v>1068</v>
      </c>
      <c r="E36" s="338" cm="1">
        <f t="array" ref="E36">_xlfn.IFS($C$9="PowerShare PSX1204D",$U$8-E35,$C$9="PowerShare PSX2404D",$T$8-E35,$C$9="PowerShare PSX4804D",$S$8-E35,TRUE,$U$8-E35)</f>
        <v>1068</v>
      </c>
      <c r="F36" s="338" cm="1">
        <f t="array" ref="F36">_xlfn.IFS($C$9="PowerShare PSX1204D",$U$8-F35,$C$9="PowerShare PSX2404D",$T$8-F35,$C$9="PowerShare PSX4804D",$S$8-F35,TRUE,$U$8-F35)</f>
        <v>1068</v>
      </c>
      <c r="G36" s="126"/>
      <c r="H36" s="126"/>
      <c r="I36" s="126"/>
      <c r="J36" s="127"/>
      <c r="K36" s="126"/>
      <c r="L36" s="128"/>
      <c r="M36" s="319"/>
      <c r="P36" s="129"/>
      <c r="Q36" s="129"/>
      <c r="R36" s="119"/>
      <c r="S36" s="119"/>
      <c r="T36" s="119"/>
      <c r="U36" s="119"/>
      <c r="V36" s="119"/>
      <c r="W36" s="119"/>
      <c r="X36" s="119"/>
      <c r="Z36" s="129"/>
      <c r="AA36" s="124"/>
      <c r="AB36" s="72"/>
      <c r="AC36" s="120"/>
      <c r="AD36" s="121"/>
      <c r="AE36" s="120"/>
      <c r="AF36" s="121"/>
    </row>
    <row r="37" spans="2:42" s="60" customFormat="1" ht="15.6" hidden="1">
      <c r="B37" s="297" t="s">
        <v>261</v>
      </c>
      <c r="C37" s="304">
        <f t="shared" ref="C37:F38" si="12">C35*2</f>
        <v>64</v>
      </c>
      <c r="D37" s="304">
        <f t="shared" si="12"/>
        <v>64</v>
      </c>
      <c r="E37" s="304">
        <f t="shared" si="12"/>
        <v>64</v>
      </c>
      <c r="F37" s="304">
        <f t="shared" si="12"/>
        <v>64</v>
      </c>
      <c r="G37" s="126"/>
      <c r="H37" s="126"/>
      <c r="I37" s="126"/>
      <c r="J37" s="127"/>
      <c r="K37" s="126"/>
      <c r="L37" s="128"/>
      <c r="M37" s="319"/>
      <c r="P37" s="129"/>
      <c r="Q37" s="129"/>
      <c r="R37" s="119"/>
      <c r="S37" s="119"/>
      <c r="T37" s="119"/>
      <c r="U37" s="119"/>
      <c r="V37" s="119"/>
      <c r="W37" s="119"/>
      <c r="X37" s="119"/>
      <c r="Z37" s="129"/>
      <c r="AA37" s="124"/>
      <c r="AB37" s="72"/>
      <c r="AC37" s="120"/>
      <c r="AD37" s="121"/>
      <c r="AE37" s="120"/>
      <c r="AF37" s="121"/>
    </row>
    <row r="38" spans="2:42" s="60" customFormat="1" ht="15.6" hidden="1">
      <c r="B38" s="297" t="s">
        <v>262</v>
      </c>
      <c r="C38" s="304">
        <f t="shared" si="12"/>
        <v>2136</v>
      </c>
      <c r="D38" s="304">
        <f t="shared" si="12"/>
        <v>2136</v>
      </c>
      <c r="E38" s="304">
        <f t="shared" si="12"/>
        <v>2136</v>
      </c>
      <c r="F38" s="304">
        <f t="shared" si="12"/>
        <v>2136</v>
      </c>
      <c r="G38" s="126"/>
      <c r="H38" s="126"/>
      <c r="I38" s="126"/>
      <c r="J38" s="127"/>
      <c r="K38" s="126"/>
      <c r="L38" s="128"/>
      <c r="M38" s="319"/>
      <c r="P38" s="129"/>
      <c r="Q38" s="129"/>
      <c r="R38" s="119"/>
      <c r="S38" s="119"/>
      <c r="T38" s="119"/>
      <c r="U38" s="119"/>
      <c r="V38" s="119"/>
      <c r="W38" s="119"/>
      <c r="X38" s="119"/>
      <c r="Z38" s="129"/>
      <c r="AA38" s="124"/>
      <c r="AB38" s="72"/>
      <c r="AC38" s="120"/>
      <c r="AD38" s="121"/>
      <c r="AE38" s="120"/>
      <c r="AF38" s="121"/>
    </row>
    <row r="39" spans="2:42" s="60" customFormat="1" ht="18" hidden="1" customHeight="1">
      <c r="B39" s="59" t="s">
        <v>81</v>
      </c>
      <c r="C39" s="130">
        <f t="shared" ref="C39:J39" si="13">C35*2*10^(-C31/10)</f>
        <v>1.330822033764274</v>
      </c>
      <c r="D39" s="130">
        <f t="shared" si="13"/>
        <v>1.330822033764274</v>
      </c>
      <c r="E39" s="130">
        <f t="shared" si="13"/>
        <v>1.330822033764274</v>
      </c>
      <c r="F39" s="130">
        <f t="shared" si="13"/>
        <v>1.330822033764274</v>
      </c>
      <c r="G39" s="130">
        <f t="shared" si="13"/>
        <v>7.9621434110699445E-9</v>
      </c>
      <c r="H39" s="130">
        <f t="shared" si="13"/>
        <v>7.9621434110699445E-9</v>
      </c>
      <c r="I39" s="130">
        <f t="shared" si="13"/>
        <v>7.9621434110699445E-9</v>
      </c>
      <c r="J39" s="131">
        <f t="shared" si="13"/>
        <v>7.9621434110699445E-9</v>
      </c>
      <c r="K39" s="130">
        <f>SUM(C39:J39)</f>
        <v>5.3232881669056713</v>
      </c>
      <c r="L39" s="128">
        <f>IF(K39&gt;0,10*LOG10(O$7/K39),100)</f>
        <v>18.301225241850698</v>
      </c>
      <c r="M39" s="320" t="str">
        <f>IF(L39&lt;-0.01,CONCATENATE("The sustainable total average power is limited to ",O7," W"),"")</f>
        <v/>
      </c>
      <c r="N39" s="60" t="s">
        <v>82</v>
      </c>
      <c r="O39" s="68">
        <f>INDEX(P39:Z39,1,MATCH(C$9,P$2:Z$2,0))</f>
        <v>32.4</v>
      </c>
      <c r="P39" s="132">
        <v>15.5</v>
      </c>
      <c r="Q39" s="132">
        <v>19.5</v>
      </c>
      <c r="R39" s="132">
        <v>34</v>
      </c>
      <c r="S39" s="132">
        <v>32.4</v>
      </c>
      <c r="T39" s="132">
        <v>32.4</v>
      </c>
      <c r="U39" s="132">
        <v>32.4</v>
      </c>
      <c r="V39" s="132">
        <v>34</v>
      </c>
      <c r="W39" s="132">
        <v>32.4</v>
      </c>
      <c r="X39" s="132">
        <v>32.4</v>
      </c>
      <c r="Y39" s="68">
        <v>180</v>
      </c>
      <c r="Z39" s="69">
        <v>180</v>
      </c>
      <c r="AA39" s="133"/>
      <c r="AB39" s="72" t="s">
        <v>52</v>
      </c>
      <c r="AC39" s="120" t="s">
        <v>83</v>
      </c>
      <c r="AD39" s="121" t="s">
        <v>84</v>
      </c>
      <c r="AE39" s="120" t="s">
        <v>85</v>
      </c>
      <c r="AF39" s="121" t="s">
        <v>79</v>
      </c>
      <c r="AP39" s="134"/>
    </row>
    <row r="40" spans="2:42" s="60" customFormat="1" ht="18" hidden="1" customHeight="1">
      <c r="B40" s="59" t="s">
        <v>86</v>
      </c>
      <c r="C40" s="135">
        <f>SQRT(C35*2*C42)</f>
        <v>32</v>
      </c>
      <c r="D40" s="135">
        <f t="shared" ref="D40:J40" si="14">SQRT(D35*2*D42)</f>
        <v>32</v>
      </c>
      <c r="E40" s="135">
        <f t="shared" si="14"/>
        <v>32</v>
      </c>
      <c r="F40" s="135">
        <f t="shared" si="14"/>
        <v>32</v>
      </c>
      <c r="G40" s="135">
        <f t="shared" si="14"/>
        <v>4.4721359549995794E-2</v>
      </c>
      <c r="H40" s="135">
        <f t="shared" si="14"/>
        <v>4.4721359549995794E-2</v>
      </c>
      <c r="I40" s="135">
        <f t="shared" si="14"/>
        <v>4.4721359549995794E-2</v>
      </c>
      <c r="J40" s="136">
        <f t="shared" si="14"/>
        <v>4.4721359549995794E-2</v>
      </c>
      <c r="K40" s="135">
        <f>MAX(C40:J40)</f>
        <v>32</v>
      </c>
      <c r="L40" s="128"/>
      <c r="M40" s="319"/>
      <c r="N40" s="60" t="s">
        <v>87</v>
      </c>
      <c r="O40" s="137">
        <f>INDEX(P40:Z40,1,MATCH(C$9,P$2:Z$2,0))</f>
        <v>0.82</v>
      </c>
      <c r="P40" s="138">
        <v>0.91</v>
      </c>
      <c r="Q40" s="138">
        <v>0.91</v>
      </c>
      <c r="R40" s="138">
        <v>0.9</v>
      </c>
      <c r="S40" s="138">
        <v>0.82</v>
      </c>
      <c r="T40" s="138">
        <v>0.82</v>
      </c>
      <c r="U40" s="138">
        <v>0.82</v>
      </c>
      <c r="V40" s="138">
        <v>0.9</v>
      </c>
      <c r="W40" s="138">
        <v>0.82</v>
      </c>
      <c r="X40" s="138">
        <v>0.82</v>
      </c>
      <c r="Y40" s="137">
        <f>2075/(115*32)</f>
        <v>0.56385869565217395</v>
      </c>
      <c r="Z40" s="138">
        <v>0.56000000000000005</v>
      </c>
      <c r="AA40" s="133"/>
      <c r="AB40" s="139" t="s">
        <v>53</v>
      </c>
      <c r="AC40" s="140" t="s">
        <v>77</v>
      </c>
      <c r="AD40" s="141" t="s">
        <v>78</v>
      </c>
      <c r="AE40" s="140" t="s">
        <v>79</v>
      </c>
      <c r="AF40" s="141" t="s">
        <v>80</v>
      </c>
    </row>
    <row r="41" spans="2:42" s="60" customFormat="1" ht="15" hidden="1" customHeight="1">
      <c r="B41" s="59" t="s">
        <v>88</v>
      </c>
      <c r="C41" s="305">
        <f t="shared" ref="C41:F41" si="15">SQRT(C35*2/C43)</f>
        <v>2.2903933372554728</v>
      </c>
      <c r="D41" s="305">
        <f t="shared" si="15"/>
        <v>2.2903933372554728</v>
      </c>
      <c r="E41" s="305">
        <f t="shared" si="15"/>
        <v>2.2903933372554728</v>
      </c>
      <c r="F41" s="305">
        <f t="shared" si="15"/>
        <v>2.2903933372554728</v>
      </c>
      <c r="G41" s="305">
        <f>SQRT(G35*2/G43)</f>
        <v>5.1639089432829867E-6</v>
      </c>
      <c r="H41" s="305">
        <f t="shared" ref="H41:J41" si="16">SQRT(H35*2/H43)</f>
        <v>5.1639089432829867E-6</v>
      </c>
      <c r="I41" s="305">
        <f t="shared" si="16"/>
        <v>5.1639089432829867E-6</v>
      </c>
      <c r="J41" s="142">
        <f t="shared" si="16"/>
        <v>5.1639089432829867E-6</v>
      </c>
      <c r="K41" s="135"/>
      <c r="L41" s="128"/>
      <c r="M41" s="319"/>
      <c r="O41" s="137"/>
      <c r="Y41" s="137"/>
      <c r="AA41" s="133"/>
    </row>
    <row r="42" spans="2:42" s="60" customFormat="1" ht="15.6">
      <c r="B42" s="59" t="s">
        <v>89</v>
      </c>
      <c r="C42" s="306">
        <f t="shared" ref="C42:J42" si="17">IF(IF(C14=$G2,C28/C16,IF(C14=$G6,10000,INDEX($H2:$H6,MATCH(C14,$G2:$G6,0),1)^2/2/C35))&gt;=2,IF(C14=$G2,C28/C16,IF(C14=$G6,10000,INDEX($H2:$H6,MATCH(C14,$G2:$G6,0),1)^2/2/C35)),NA())</f>
        <v>16</v>
      </c>
      <c r="D42" s="306">
        <f t="shared" si="17"/>
        <v>16</v>
      </c>
      <c r="E42" s="306">
        <f t="shared" si="17"/>
        <v>16</v>
      </c>
      <c r="F42" s="306">
        <f t="shared" si="17"/>
        <v>16</v>
      </c>
      <c r="G42" s="306">
        <f t="shared" si="17"/>
        <v>10000</v>
      </c>
      <c r="H42" s="306">
        <f t="shared" si="17"/>
        <v>10000</v>
      </c>
      <c r="I42" s="306">
        <f t="shared" si="17"/>
        <v>10000</v>
      </c>
      <c r="J42" s="143">
        <f t="shared" si="17"/>
        <v>10000</v>
      </c>
      <c r="K42" s="66"/>
      <c r="L42" s="66"/>
      <c r="M42" s="319" t="s">
        <v>90</v>
      </c>
      <c r="N42" s="60" t="s">
        <v>91</v>
      </c>
      <c r="O42" s="144">
        <f>INDEX(P42:Z42,1,MATCH(C$9,P$2:Z$2,0))</f>
        <v>804.8780487804878</v>
      </c>
      <c r="P42" s="145">
        <f t="shared" ref="P42:Z42" si="18">P12/P40*1.2</f>
        <v>118.68131868131866</v>
      </c>
      <c r="Q42" s="145">
        <f t="shared" si="18"/>
        <v>168.79120879120876</v>
      </c>
      <c r="R42" s="145">
        <f t="shared" si="18"/>
        <v>1599.9999999999998</v>
      </c>
      <c r="S42" s="145">
        <f t="shared" si="18"/>
        <v>1609.7560975609756</v>
      </c>
      <c r="T42" s="145">
        <f t="shared" si="18"/>
        <v>965.85365853658527</v>
      </c>
      <c r="U42" s="145">
        <f t="shared" si="18"/>
        <v>804.8780487804878</v>
      </c>
      <c r="V42" s="145">
        <f t="shared" si="18"/>
        <v>1599.9999999999998</v>
      </c>
      <c r="W42" s="145">
        <f t="shared" si="18"/>
        <v>1609.7560975609756</v>
      </c>
      <c r="X42" s="145">
        <f t="shared" si="18"/>
        <v>804.8780487804878</v>
      </c>
      <c r="Y42" s="146">
        <f t="shared" si="18"/>
        <v>3671.1325301204815</v>
      </c>
      <c r="Z42" s="147">
        <f t="shared" si="18"/>
        <v>10714.285714285712</v>
      </c>
      <c r="AA42" s="144"/>
    </row>
    <row r="43" spans="2:42" s="60" customFormat="1" ht="18" hidden="1" customHeight="1" thickBot="1">
      <c r="B43" s="109" t="s">
        <v>92</v>
      </c>
      <c r="C43" s="148">
        <f t="shared" ref="C43:J43" si="19">IF(RIGHT(C14,1)="V",C42*0.85+0.4,C42*0.75+0.2)</f>
        <v>12.2</v>
      </c>
      <c r="D43" s="148">
        <f t="shared" si="19"/>
        <v>12.2</v>
      </c>
      <c r="E43" s="148">
        <f t="shared" si="19"/>
        <v>12.2</v>
      </c>
      <c r="F43" s="148">
        <f t="shared" si="19"/>
        <v>12.2</v>
      </c>
      <c r="G43" s="148">
        <f t="shared" si="19"/>
        <v>7500.2</v>
      </c>
      <c r="H43" s="148">
        <f t="shared" si="19"/>
        <v>7500.2</v>
      </c>
      <c r="I43" s="148">
        <f t="shared" si="19"/>
        <v>7500.2</v>
      </c>
      <c r="J43" s="149">
        <f t="shared" si="19"/>
        <v>7500.2</v>
      </c>
      <c r="K43" s="150"/>
      <c r="L43" s="150"/>
      <c r="M43" s="321" t="s">
        <v>93</v>
      </c>
      <c r="N43" s="151"/>
      <c r="O43" s="152">
        <f>INDEX(P43:Z43,1,MATCH(C$9,P$2:Z$2,0))</f>
        <v>7.5</v>
      </c>
      <c r="P43" s="153">
        <v>4.5</v>
      </c>
      <c r="Q43" s="153">
        <v>4.5</v>
      </c>
      <c r="R43" s="153">
        <v>15</v>
      </c>
      <c r="S43" s="153">
        <v>15</v>
      </c>
      <c r="T43" s="154">
        <v>7.5</v>
      </c>
      <c r="U43" s="154">
        <v>7.5</v>
      </c>
      <c r="V43" s="154">
        <v>15</v>
      </c>
      <c r="W43" s="153">
        <v>15</v>
      </c>
      <c r="X43" s="154">
        <v>7.5</v>
      </c>
      <c r="Y43" s="155">
        <v>32</v>
      </c>
      <c r="Z43" s="156">
        <v>32</v>
      </c>
      <c r="AA43" s="152"/>
    </row>
    <row r="44" spans="2:42" s="60" customFormat="1" ht="18" hidden="1" customHeight="1">
      <c r="B44" s="59"/>
      <c r="C44" s="306"/>
      <c r="D44" s="306"/>
      <c r="E44" s="306"/>
      <c r="F44" s="306"/>
      <c r="G44" s="306"/>
      <c r="H44" s="306"/>
      <c r="I44" s="306"/>
      <c r="J44" s="143"/>
      <c r="K44" s="157"/>
      <c r="L44" s="157"/>
      <c r="M44" s="322"/>
      <c r="N44" s="158"/>
      <c r="O44" s="152"/>
      <c r="P44" s="119"/>
      <c r="Q44" s="119"/>
      <c r="R44" s="119"/>
      <c r="S44" s="119"/>
      <c r="T44" s="119"/>
      <c r="U44" s="119"/>
      <c r="V44" s="119"/>
      <c r="W44" s="119"/>
      <c r="X44" s="119"/>
      <c r="Y44" s="159"/>
      <c r="Z44" s="119"/>
      <c r="AA44" s="152"/>
    </row>
    <row r="45" spans="2:42" s="60" customFormat="1" ht="18" hidden="1" customHeight="1">
      <c r="B45" s="59" t="s">
        <v>67</v>
      </c>
      <c r="C45" s="128">
        <f t="shared" ref="C45:J45" si="20">MIN(20*LOG10(1/MAX(C$41/$O$11,C$40/$O$10)),10*LOG10($O$8/C$35))</f>
        <v>2.566369545193611</v>
      </c>
      <c r="D45" s="128">
        <f t="shared" si="20"/>
        <v>2.566369545193611</v>
      </c>
      <c r="E45" s="128">
        <f t="shared" si="20"/>
        <v>2.566369545193611</v>
      </c>
      <c r="F45" s="128">
        <f t="shared" si="20"/>
        <v>2.566369545193611</v>
      </c>
      <c r="G45" s="128">
        <f t="shared" si="20"/>
        <v>59.659069154951922</v>
      </c>
      <c r="H45" s="128">
        <f t="shared" si="20"/>
        <v>59.659069154951922</v>
      </c>
      <c r="I45" s="128">
        <f t="shared" si="20"/>
        <v>59.659069154951922</v>
      </c>
      <c r="J45" s="160">
        <f t="shared" si="20"/>
        <v>59.659069154951922</v>
      </c>
      <c r="K45" s="157"/>
      <c r="L45" s="157"/>
      <c r="M45" s="322"/>
      <c r="N45" s="41" t="s">
        <v>94</v>
      </c>
      <c r="O45" s="161">
        <f>INDEX(P45:Y45,1,MATCH(C$9,P$2:Y$2,0))</f>
        <v>1100</v>
      </c>
      <c r="P45" s="43">
        <v>320</v>
      </c>
      <c r="Q45" s="43">
        <v>600</v>
      </c>
      <c r="R45" s="161">
        <v>2100</v>
      </c>
      <c r="S45" s="161">
        <v>2100</v>
      </c>
      <c r="T45" s="161">
        <v>1500</v>
      </c>
      <c r="U45" s="161">
        <v>1100</v>
      </c>
      <c r="V45" s="161">
        <v>2000</v>
      </c>
      <c r="W45" s="43">
        <v>4200</v>
      </c>
      <c r="X45" s="43">
        <v>2400</v>
      </c>
      <c r="Y45" s="43">
        <v>10000</v>
      </c>
      <c r="Z45" s="155"/>
      <c r="AA45" s="152"/>
    </row>
    <row r="46" spans="2:42" s="60" customFormat="1" ht="16" hidden="1" customHeight="1">
      <c r="B46" s="162" t="s">
        <v>95</v>
      </c>
      <c r="J46" s="67"/>
      <c r="K46" s="66"/>
      <c r="L46" s="66"/>
      <c r="M46" s="323"/>
      <c r="N46" s="41" t="s">
        <v>96</v>
      </c>
      <c r="O46" s="161">
        <f>INDEX(P46:Y46,1,MATCH(C$9,P$2:Y$2,0))</f>
        <v>1100</v>
      </c>
      <c r="P46" s="43">
        <v>320</v>
      </c>
      <c r="Q46" s="43">
        <v>500</v>
      </c>
      <c r="R46" s="161">
        <v>3000</v>
      </c>
      <c r="S46" s="161">
        <v>2200</v>
      </c>
      <c r="T46" s="161">
        <v>1700</v>
      </c>
      <c r="U46" s="161">
        <v>1100</v>
      </c>
      <c r="V46" s="161">
        <v>2300</v>
      </c>
      <c r="W46" s="43">
        <v>4200</v>
      </c>
      <c r="X46" s="43">
        <v>2400</v>
      </c>
      <c r="Y46" s="43">
        <v>10000</v>
      </c>
    </row>
    <row r="47" spans="2:42" s="60" customFormat="1" ht="16" hidden="1" customHeight="1">
      <c r="B47" s="162" t="s">
        <v>97</v>
      </c>
      <c r="C47" s="307">
        <f t="shared" ref="C47:J47" si="21">MIN(C35,$O$8)</f>
        <v>32</v>
      </c>
      <c r="D47" s="307">
        <f t="shared" si="21"/>
        <v>32</v>
      </c>
      <c r="E47" s="307">
        <f t="shared" si="21"/>
        <v>32</v>
      </c>
      <c r="F47" s="307">
        <f t="shared" si="21"/>
        <v>32</v>
      </c>
      <c r="G47" s="307">
        <f t="shared" si="21"/>
        <v>9.9999999999999995E-8</v>
      </c>
      <c r="H47" s="307">
        <f t="shared" si="21"/>
        <v>9.9999999999999995E-8</v>
      </c>
      <c r="I47" s="307">
        <f t="shared" si="21"/>
        <v>9.9999999999999995E-8</v>
      </c>
      <c r="J47" s="163">
        <f t="shared" si="21"/>
        <v>9.9999999999999995E-8</v>
      </c>
      <c r="K47" s="66"/>
      <c r="L47" s="66"/>
      <c r="M47" s="323"/>
    </row>
    <row r="48" spans="2:42" s="60" customFormat="1" ht="16" hidden="1" customHeight="1">
      <c r="B48" s="162" t="s">
        <v>98</v>
      </c>
      <c r="C48" s="307">
        <f t="shared" ref="C48:J48" si="22">MIN(C47,$O11^2/2/C42)</f>
        <v>32</v>
      </c>
      <c r="D48" s="307">
        <f t="shared" si="22"/>
        <v>32</v>
      </c>
      <c r="E48" s="307">
        <f t="shared" si="22"/>
        <v>32</v>
      </c>
      <c r="F48" s="307">
        <f t="shared" si="22"/>
        <v>32</v>
      </c>
      <c r="G48" s="307">
        <f t="shared" si="22"/>
        <v>9.9999999999999995E-8</v>
      </c>
      <c r="H48" s="307">
        <f t="shared" si="22"/>
        <v>9.9999999999999995E-8</v>
      </c>
      <c r="I48" s="307">
        <f t="shared" si="22"/>
        <v>9.9999999999999995E-8</v>
      </c>
      <c r="J48" s="163">
        <f t="shared" si="22"/>
        <v>9.9999999999999995E-8</v>
      </c>
      <c r="K48" s="66"/>
      <c r="L48" s="66"/>
      <c r="M48" s="323"/>
    </row>
    <row r="49" spans="2:25" s="60" customFormat="1" ht="16" hidden="1" customHeight="1">
      <c r="B49" s="164" t="s">
        <v>99</v>
      </c>
      <c r="C49" s="307">
        <f>MIN(($O10^2*C43)/2,C48)</f>
        <v>32</v>
      </c>
      <c r="D49" s="307">
        <f>MIN(($O10^2*D43)/2,D48)</f>
        <v>32</v>
      </c>
      <c r="E49" s="307">
        <f>MIN(($O10^2*E43)/2,E48)</f>
        <v>32</v>
      </c>
      <c r="F49" s="307">
        <f>MIN(($O10^2*F43)/2,F48)</f>
        <v>32</v>
      </c>
      <c r="G49" s="307">
        <f>MIN(($O10*G43)^2/2/G42,G48)</f>
        <v>9.9999999999999995E-8</v>
      </c>
      <c r="H49" s="307">
        <f>MIN(($O10*H43)^2/2/H42,H48)</f>
        <v>9.9999999999999995E-8</v>
      </c>
      <c r="I49" s="307">
        <f>MIN(($O10*I43)^2/2/I42,I48)</f>
        <v>9.9999999999999995E-8</v>
      </c>
      <c r="J49" s="163">
        <f>MIN(($O10*J43)^2/2/J42,J48)</f>
        <v>9.9999999999999995E-8</v>
      </c>
      <c r="K49" s="66"/>
      <c r="L49" s="66"/>
      <c r="M49" s="323"/>
    </row>
    <row r="50" spans="2:25" s="60" customFormat="1" ht="16" hidden="1" customHeight="1">
      <c r="B50" s="59" t="s">
        <v>100</v>
      </c>
      <c r="C50" s="130">
        <f t="shared" ref="C50:J50" si="23">IF(C35*10^($L35/10)&gt;$O8,$O8,C35*10^($L35/10))</f>
        <v>299.99999906250014</v>
      </c>
      <c r="D50" s="130">
        <f t="shared" si="23"/>
        <v>299.99999906250014</v>
      </c>
      <c r="E50" s="130">
        <f t="shared" si="23"/>
        <v>299.99999906250014</v>
      </c>
      <c r="F50" s="130">
        <f t="shared" si="23"/>
        <v>299.99999906250014</v>
      </c>
      <c r="G50" s="130">
        <f t="shared" si="23"/>
        <v>9.3749999707031285E-7</v>
      </c>
      <c r="H50" s="130">
        <f t="shared" si="23"/>
        <v>9.3749999707031285E-7</v>
      </c>
      <c r="I50" s="130">
        <f t="shared" si="23"/>
        <v>9.3749999707031285E-7</v>
      </c>
      <c r="J50" s="131">
        <f t="shared" si="23"/>
        <v>9.3749999707031285E-7</v>
      </c>
      <c r="K50" s="130">
        <f>SUM(C50:J50)</f>
        <v>1200.0000000000009</v>
      </c>
      <c r="L50" s="66"/>
      <c r="M50" s="323"/>
    </row>
    <row r="51" spans="2:25" s="60" customFormat="1" ht="16" hidden="1" customHeight="1">
      <c r="B51" s="59" t="s">
        <v>86</v>
      </c>
      <c r="C51" s="135">
        <f>SQRT(C50*C$42*2)</f>
        <v>97.979589558234039</v>
      </c>
      <c r="D51" s="135">
        <f t="shared" ref="D51:J51" si="24">SQRT(D50*D$42*2)</f>
        <v>97.979589558234039</v>
      </c>
      <c r="E51" s="135">
        <f t="shared" si="24"/>
        <v>97.979589558234039</v>
      </c>
      <c r="F51" s="135">
        <f t="shared" si="24"/>
        <v>97.979589558234039</v>
      </c>
      <c r="G51" s="135">
        <f t="shared" si="24"/>
        <v>0.13693063916233744</v>
      </c>
      <c r="H51" s="135">
        <f t="shared" si="24"/>
        <v>0.13693063916233744</v>
      </c>
      <c r="I51" s="135">
        <f t="shared" si="24"/>
        <v>0.13693063916233744</v>
      </c>
      <c r="J51" s="136">
        <f t="shared" si="24"/>
        <v>0.13693063916233744</v>
      </c>
      <c r="K51" s="66"/>
      <c r="L51" s="66"/>
      <c r="M51" s="323"/>
    </row>
    <row r="52" spans="2:25" s="60" customFormat="1" ht="16" hidden="1" customHeight="1">
      <c r="B52" s="59" t="s">
        <v>88</v>
      </c>
      <c r="C52" s="305">
        <f t="shared" ref="C52:J52" si="25">(C51/C$43)</f>
        <v>8.0311138982159047</v>
      </c>
      <c r="D52" s="305">
        <f t="shared" si="25"/>
        <v>8.0311138982159047</v>
      </c>
      <c r="E52" s="305">
        <f t="shared" si="25"/>
        <v>8.0311138982159047</v>
      </c>
      <c r="F52" s="305">
        <f t="shared" si="25"/>
        <v>8.0311138982159047</v>
      </c>
      <c r="G52" s="305">
        <f t="shared" si="25"/>
        <v>1.8256931703466232E-5</v>
      </c>
      <c r="H52" s="305">
        <f t="shared" si="25"/>
        <v>1.8256931703466232E-5</v>
      </c>
      <c r="I52" s="305">
        <f t="shared" si="25"/>
        <v>1.8256931703466232E-5</v>
      </c>
      <c r="J52" s="142">
        <f t="shared" si="25"/>
        <v>1.8256931703466232E-5</v>
      </c>
      <c r="K52" s="66"/>
      <c r="L52" s="66"/>
      <c r="M52" s="323"/>
    </row>
    <row r="53" spans="2:25" s="60" customFormat="1" ht="16" hidden="1" customHeight="1">
      <c r="B53" s="59" t="s">
        <v>67</v>
      </c>
      <c r="C53" s="128">
        <f>MIN(20*LOG10(1/MAX(C$51/$O$11,C$52/$O$10)),10*LOG10($O$8/C$50))</f>
        <v>3.4046477278755138</v>
      </c>
      <c r="D53" s="128">
        <f>MIN(20*LOG10(1/MAX(D$51/$O$11,D$52/$O$10)),10*LOG10($O$8/D$50))</f>
        <v>3.4046477278755138</v>
      </c>
      <c r="E53" s="128">
        <f t="shared" ref="E53:J53" si="26">20*LOG10(1/MAX(E51/$O11,E52/$O10))</f>
        <v>3.4046477278755138</v>
      </c>
      <c r="F53" s="128">
        <f t="shared" si="26"/>
        <v>3.4046477278755138</v>
      </c>
      <c r="G53" s="128">
        <f t="shared" si="26"/>
        <v>60.497347337633826</v>
      </c>
      <c r="H53" s="128">
        <f t="shared" si="26"/>
        <v>60.497347337633826</v>
      </c>
      <c r="I53" s="128">
        <f t="shared" si="26"/>
        <v>60.497347337633826</v>
      </c>
      <c r="J53" s="160">
        <f t="shared" si="26"/>
        <v>60.497347337633826</v>
      </c>
      <c r="K53" s="66"/>
      <c r="L53" s="66"/>
      <c r="M53" s="323"/>
    </row>
    <row r="54" spans="2:25" s="60" customFormat="1" ht="16" hidden="1" customHeight="1">
      <c r="B54" s="162" t="s">
        <v>101</v>
      </c>
      <c r="J54" s="67"/>
      <c r="K54" s="66"/>
      <c r="L54" s="66"/>
      <c r="M54" s="323"/>
    </row>
    <row r="55" spans="2:25" s="60" customFormat="1" ht="16" hidden="1" customHeight="1">
      <c r="B55" s="59" t="s">
        <v>102</v>
      </c>
      <c r="C55" s="165">
        <f t="shared" ref="C55:J55" si="27">SQRT(C56/C50)</f>
        <v>0.32659863288140067</v>
      </c>
      <c r="D55" s="165">
        <f t="shared" si="27"/>
        <v>0.32659863288140067</v>
      </c>
      <c r="E55" s="165">
        <f t="shared" si="27"/>
        <v>0.32659863288140067</v>
      </c>
      <c r="F55" s="165">
        <f t="shared" si="27"/>
        <v>0.32659863288140067</v>
      </c>
      <c r="G55" s="165">
        <f t="shared" si="27"/>
        <v>0.32659863288140067</v>
      </c>
      <c r="H55" s="165">
        <f t="shared" si="27"/>
        <v>0.32659863288140067</v>
      </c>
      <c r="I55" s="165">
        <f t="shared" si="27"/>
        <v>0.32659863288140067</v>
      </c>
      <c r="J55" s="166">
        <f t="shared" si="27"/>
        <v>0.32659863288140067</v>
      </c>
      <c r="K55" s="66"/>
      <c r="L55" s="66"/>
      <c r="M55" s="323"/>
      <c r="N55" s="167" t="s">
        <v>103</v>
      </c>
    </row>
    <row r="56" spans="2:25" s="60" customFormat="1" ht="16" hidden="1" customHeight="1">
      <c r="B56" s="59" t="s">
        <v>100</v>
      </c>
      <c r="C56" s="130">
        <f t="shared" ref="C56:J56" si="28">MIN(C50,C49)</f>
        <v>32</v>
      </c>
      <c r="D56" s="130">
        <f t="shared" si="28"/>
        <v>32</v>
      </c>
      <c r="E56" s="130">
        <f t="shared" si="28"/>
        <v>32</v>
      </c>
      <c r="F56" s="130">
        <f t="shared" si="28"/>
        <v>32</v>
      </c>
      <c r="G56" s="130">
        <f t="shared" si="28"/>
        <v>9.9999999999999995E-8</v>
      </c>
      <c r="H56" s="130">
        <f t="shared" si="28"/>
        <v>9.9999999999999995E-8</v>
      </c>
      <c r="I56" s="130">
        <f t="shared" si="28"/>
        <v>9.9999999999999995E-8</v>
      </c>
      <c r="J56" s="131">
        <f t="shared" si="28"/>
        <v>9.9999999999999995E-8</v>
      </c>
      <c r="K56" s="130">
        <f>SUM(C56:J56)</f>
        <v>128.00000039999998</v>
      </c>
      <c r="L56" s="128">
        <f>10*LOG10(O$3/K56)</f>
        <v>9.7197127504258631</v>
      </c>
      <c r="M56" s="319"/>
      <c r="N56" s="130">
        <f>IF(C$55&lt;1,0,C56)+IF(D$55&lt;1,0,D56)+IF(E$55&lt;1,0,E56)+IF(J$55&lt;1,0,J56)</f>
        <v>0</v>
      </c>
    </row>
    <row r="57" spans="2:25" s="60" customFormat="1" ht="16" hidden="1" customHeight="1">
      <c r="B57" s="59" t="s">
        <v>86</v>
      </c>
      <c r="C57" s="135">
        <f t="shared" ref="C57:J58" si="29">C51*C$55</f>
        <v>31.999999999999996</v>
      </c>
      <c r="D57" s="135">
        <f t="shared" si="29"/>
        <v>31.999999999999996</v>
      </c>
      <c r="E57" s="135">
        <f t="shared" si="29"/>
        <v>31.999999999999996</v>
      </c>
      <c r="F57" s="135">
        <f t="shared" si="29"/>
        <v>31.999999999999996</v>
      </c>
      <c r="G57" s="135">
        <f t="shared" si="29"/>
        <v>4.4721359549995794E-2</v>
      </c>
      <c r="H57" s="135">
        <f t="shared" si="29"/>
        <v>4.4721359549995794E-2</v>
      </c>
      <c r="I57" s="135">
        <f t="shared" si="29"/>
        <v>4.4721359549995794E-2</v>
      </c>
      <c r="J57" s="136">
        <f t="shared" si="29"/>
        <v>4.4721359549995794E-2</v>
      </c>
      <c r="K57" s="66"/>
      <c r="L57" s="168">
        <f>K50-K56</f>
        <v>1071.999999600001</v>
      </c>
      <c r="M57" s="324"/>
      <c r="N57" s="130">
        <f>IF(C$55&lt;1,0,C35)+IF(D$55&lt;1,0,D35)+IF(E$55&lt;1,0,E35)+IF(J$55&lt;1,0,J35)</f>
        <v>0</v>
      </c>
    </row>
    <row r="58" spans="2:25" s="60" customFormat="1" ht="16" hidden="1" customHeight="1">
      <c r="B58" s="59" t="s">
        <v>88</v>
      </c>
      <c r="C58" s="305">
        <f t="shared" si="29"/>
        <v>2.622950819672131</v>
      </c>
      <c r="D58" s="305">
        <f t="shared" si="29"/>
        <v>2.622950819672131</v>
      </c>
      <c r="E58" s="305">
        <f t="shared" si="29"/>
        <v>2.622950819672131</v>
      </c>
      <c r="F58" s="305">
        <f t="shared" si="29"/>
        <v>2.622950819672131</v>
      </c>
      <c r="G58" s="305">
        <f t="shared" si="29"/>
        <v>5.9626889349611727E-6</v>
      </c>
      <c r="H58" s="305">
        <f t="shared" si="29"/>
        <v>5.9626889349611727E-6</v>
      </c>
      <c r="I58" s="305">
        <f t="shared" si="29"/>
        <v>5.9626889349611727E-6</v>
      </c>
      <c r="J58" s="142">
        <f t="shared" si="29"/>
        <v>5.9626889349611727E-6</v>
      </c>
      <c r="K58" s="66"/>
      <c r="L58" s="165">
        <f>IF(N56&gt;0,SQRT((MIN(L57,N58)+N56)/N56),1)</f>
        <v>1</v>
      </c>
      <c r="M58" s="325"/>
      <c r="N58" s="168">
        <f>N57-N56</f>
        <v>0</v>
      </c>
    </row>
    <row r="59" spans="2:25" s="60" customFormat="1" ht="16" hidden="1" customHeight="1">
      <c r="B59" s="162" t="s">
        <v>104</v>
      </c>
      <c r="J59" s="67"/>
      <c r="K59" s="66"/>
      <c r="L59" s="66"/>
      <c r="M59" s="323"/>
    </row>
    <row r="60" spans="2:25" s="60" customFormat="1" ht="16" hidden="1" customHeight="1">
      <c r="B60" s="59" t="s">
        <v>105</v>
      </c>
      <c r="C60" s="165">
        <f t="shared" ref="C60:J60" si="30">SQRT(C61/C56)</f>
        <v>1</v>
      </c>
      <c r="D60" s="165">
        <f t="shared" si="30"/>
        <v>1</v>
      </c>
      <c r="E60" s="165">
        <f t="shared" si="30"/>
        <v>1</v>
      </c>
      <c r="F60" s="165">
        <f t="shared" si="30"/>
        <v>1</v>
      </c>
      <c r="G60" s="165">
        <f t="shared" si="30"/>
        <v>1</v>
      </c>
      <c r="H60" s="165">
        <f t="shared" si="30"/>
        <v>1</v>
      </c>
      <c r="I60" s="165">
        <f t="shared" si="30"/>
        <v>1</v>
      </c>
      <c r="J60" s="166">
        <f t="shared" si="30"/>
        <v>1</v>
      </c>
      <c r="K60" s="66"/>
      <c r="L60" s="66"/>
      <c r="M60" s="323"/>
    </row>
    <row r="61" spans="2:25" s="60" customFormat="1" ht="16" hidden="1" customHeight="1">
      <c r="B61" s="59" t="s">
        <v>100</v>
      </c>
      <c r="C61" s="130">
        <f>IF(C56&lt;0,C56,MIN($L58^2*C56,C49))</f>
        <v>32</v>
      </c>
      <c r="D61" s="130">
        <f t="shared" ref="D61:J61" si="31">IF(D56&lt;0,D56,MIN($L58^2*D56,D49))</f>
        <v>32</v>
      </c>
      <c r="E61" s="130">
        <f t="shared" si="31"/>
        <v>32</v>
      </c>
      <c r="F61" s="130">
        <f t="shared" si="31"/>
        <v>32</v>
      </c>
      <c r="G61" s="130">
        <f t="shared" si="31"/>
        <v>9.9999999999999995E-8</v>
      </c>
      <c r="H61" s="130">
        <f t="shared" si="31"/>
        <v>9.9999999999999995E-8</v>
      </c>
      <c r="I61" s="130">
        <f t="shared" si="31"/>
        <v>9.9999999999999995E-8</v>
      </c>
      <c r="J61" s="131">
        <f t="shared" si="31"/>
        <v>9.9999999999999995E-8</v>
      </c>
      <c r="K61" s="130">
        <f>SUM(C61:J61)</f>
        <v>128.00000039999998</v>
      </c>
      <c r="L61" s="128">
        <f>10*LOG10(O$3/K61)</f>
        <v>9.7197127504258631</v>
      </c>
      <c r="M61" s="319"/>
      <c r="N61" s="130">
        <f>IF(C$64&gt;0,C61,0)+IF(D$64&gt;0,D61,0)+IF(E$64&gt;0,E61,0)+IF(J$64&gt;0,J61,0)</f>
        <v>96.000000099999994</v>
      </c>
      <c r="O61" s="134">
        <f>O3-K61</f>
        <v>1071.9999996000001</v>
      </c>
    </row>
    <row r="62" spans="2:25" s="60" customFormat="1" ht="16" hidden="1" customHeight="1">
      <c r="B62" s="59" t="s">
        <v>86</v>
      </c>
      <c r="C62" s="135">
        <f>SQRT(C61*C$42*2)</f>
        <v>32</v>
      </c>
      <c r="D62" s="135">
        <f t="shared" ref="D62:J62" si="32">SQRT(D61*D$42*2)</f>
        <v>32</v>
      </c>
      <c r="E62" s="135">
        <f t="shared" si="32"/>
        <v>32</v>
      </c>
      <c r="F62" s="135">
        <f t="shared" si="32"/>
        <v>32</v>
      </c>
      <c r="G62" s="135">
        <f t="shared" si="32"/>
        <v>4.4721359549995794E-2</v>
      </c>
      <c r="H62" s="135">
        <f t="shared" si="32"/>
        <v>4.4721359549995794E-2</v>
      </c>
      <c r="I62" s="135">
        <f t="shared" si="32"/>
        <v>4.4721359549995794E-2</v>
      </c>
      <c r="J62" s="136">
        <f t="shared" si="32"/>
        <v>4.4721359549995794E-2</v>
      </c>
      <c r="K62" s="66"/>
      <c r="L62" s="66"/>
      <c r="M62" s="323"/>
      <c r="N62" s="130">
        <f>IF(C65&gt;0,C62,0)+IF(D65&gt;0,D62,0)+IF(E65&gt;0,E62,0)+IF(J65&gt;0,J62,0)</f>
        <v>0</v>
      </c>
    </row>
    <row r="63" spans="2:25" s="174" customFormat="1" ht="16" hidden="1" customHeight="1">
      <c r="B63" s="169" t="s">
        <v>88</v>
      </c>
      <c r="C63" s="170">
        <f t="shared" ref="C63:J63" si="33">C62/C$43</f>
        <v>2.6229508196721314</v>
      </c>
      <c r="D63" s="170">
        <f t="shared" si="33"/>
        <v>2.6229508196721314</v>
      </c>
      <c r="E63" s="170">
        <f t="shared" si="33"/>
        <v>2.6229508196721314</v>
      </c>
      <c r="F63" s="170">
        <f t="shared" si="33"/>
        <v>2.6229508196721314</v>
      </c>
      <c r="G63" s="170">
        <f t="shared" si="33"/>
        <v>5.9626889349611736E-6</v>
      </c>
      <c r="H63" s="170">
        <f t="shared" si="33"/>
        <v>5.9626889349611736E-6</v>
      </c>
      <c r="I63" s="170">
        <f t="shared" si="33"/>
        <v>5.9626889349611736E-6</v>
      </c>
      <c r="J63" s="171">
        <f t="shared" si="33"/>
        <v>5.9626889349611736E-6</v>
      </c>
      <c r="K63" s="172"/>
      <c r="L63" s="173">
        <f>IF(N62&gt;0,SQRT((N61+O61)/N61),1)</f>
        <v>1</v>
      </c>
      <c r="M63" s="326"/>
    </row>
    <row r="64" spans="2:25" s="60" customFormat="1" ht="16" hidden="1" customHeight="1">
      <c r="B64" s="59" t="s">
        <v>67</v>
      </c>
      <c r="C64" s="128">
        <f t="shared" ref="C64:J64" si="34">MIN(20*LOG10(1/MAX(C62/$O$11,C63/$O$10)),10*LOG10($O$8/C61))</f>
        <v>13.124360478301378</v>
      </c>
      <c r="D64" s="128">
        <f t="shared" si="34"/>
        <v>13.124360478301378</v>
      </c>
      <c r="E64" s="128">
        <f t="shared" si="34"/>
        <v>13.124360478301378</v>
      </c>
      <c r="F64" s="128">
        <f t="shared" si="34"/>
        <v>13.124360478301378</v>
      </c>
      <c r="G64" s="128">
        <f t="shared" si="34"/>
        <v>70.217060088059682</v>
      </c>
      <c r="H64" s="128">
        <f t="shared" si="34"/>
        <v>70.217060088059682</v>
      </c>
      <c r="I64" s="128">
        <f t="shared" si="34"/>
        <v>70.217060088059682</v>
      </c>
      <c r="J64" s="160">
        <f t="shared" si="34"/>
        <v>70.217060088059682</v>
      </c>
      <c r="K64" s="66"/>
      <c r="L64" s="66"/>
      <c r="M64" s="323"/>
      <c r="N64" s="41" t="s">
        <v>106</v>
      </c>
      <c r="O64" s="161">
        <f>INDEX(P64:Y64,1,MATCH(C$9,P$2:Y$2,0))</f>
        <v>1200</v>
      </c>
      <c r="P64" s="43">
        <v>320</v>
      </c>
      <c r="Q64" s="43">
        <v>600</v>
      </c>
      <c r="R64" s="161">
        <v>8000</v>
      </c>
      <c r="S64" s="161">
        <v>4800</v>
      </c>
      <c r="T64" s="161">
        <v>2400</v>
      </c>
      <c r="U64" s="161">
        <v>1200</v>
      </c>
      <c r="V64" s="161">
        <v>8000</v>
      </c>
      <c r="W64" s="43">
        <v>4200</v>
      </c>
      <c r="X64" s="43">
        <v>2400</v>
      </c>
      <c r="Y64" s="43">
        <v>10000</v>
      </c>
    </row>
    <row r="65" spans="2:25" s="60" customFormat="1" ht="16" hidden="1" customHeight="1">
      <c r="B65" s="162" t="s">
        <v>107</v>
      </c>
      <c r="J65" s="67"/>
      <c r="K65" s="66"/>
      <c r="L65" s="66"/>
      <c r="M65" s="323"/>
      <c r="N65" s="41" t="s">
        <v>108</v>
      </c>
      <c r="O65" s="161">
        <f>INDEX(P65:Y65,1,MATCH(C$9,P$2:Y$2,0))</f>
        <v>1200</v>
      </c>
      <c r="P65" s="43">
        <v>320</v>
      </c>
      <c r="Q65" s="43">
        <v>500</v>
      </c>
      <c r="R65" s="161">
        <v>8000</v>
      </c>
      <c r="S65" s="161">
        <v>4800</v>
      </c>
      <c r="T65" s="161">
        <v>2400</v>
      </c>
      <c r="U65" s="161">
        <v>1200</v>
      </c>
      <c r="V65" s="161">
        <v>8000</v>
      </c>
      <c r="W65" s="43">
        <v>4200</v>
      </c>
      <c r="X65" s="43">
        <v>2400</v>
      </c>
      <c r="Y65" s="43">
        <v>10000</v>
      </c>
    </row>
    <row r="66" spans="2:25" s="60" customFormat="1" ht="16" hidden="1" customHeight="1">
      <c r="B66" s="59" t="s">
        <v>109</v>
      </c>
      <c r="C66" s="165">
        <f t="shared" ref="C66:J66" si="35">IF(C64&lt;0,10^(C64/20),IF(C64&gt;0,$L63,1))</f>
        <v>1</v>
      </c>
      <c r="D66" s="165">
        <f t="shared" si="35"/>
        <v>1</v>
      </c>
      <c r="E66" s="165">
        <f t="shared" si="35"/>
        <v>1</v>
      </c>
      <c r="F66" s="165">
        <f t="shared" si="35"/>
        <v>1</v>
      </c>
      <c r="G66" s="165">
        <f t="shared" si="35"/>
        <v>1</v>
      </c>
      <c r="H66" s="165">
        <f t="shared" si="35"/>
        <v>1</v>
      </c>
      <c r="I66" s="165">
        <f t="shared" si="35"/>
        <v>1</v>
      </c>
      <c r="J66" s="166">
        <f t="shared" si="35"/>
        <v>1</v>
      </c>
      <c r="K66" s="130"/>
      <c r="L66" s="66"/>
      <c r="M66" s="323"/>
    </row>
    <row r="67" spans="2:25" s="60" customFormat="1" ht="16" hidden="1" customHeight="1">
      <c r="B67" s="59" t="s">
        <v>110</v>
      </c>
      <c r="C67" s="165"/>
      <c r="D67" s="165"/>
      <c r="E67" s="165"/>
      <c r="F67" s="165"/>
      <c r="G67" s="165"/>
      <c r="H67" s="165"/>
      <c r="I67" s="165"/>
      <c r="J67" s="166"/>
      <c r="K67" s="130"/>
      <c r="L67" s="66"/>
      <c r="M67" s="323"/>
    </row>
    <row r="68" spans="2:25" s="1" customFormat="1" ht="14.7" hidden="1" thickBot="1">
      <c r="B68" s="175"/>
      <c r="J68" s="176"/>
      <c r="K68" s="177"/>
      <c r="L68" s="177"/>
      <c r="M68" s="327"/>
    </row>
    <row r="69" spans="2:25" s="1" customFormat="1" hidden="1">
      <c r="B69" s="178" t="s">
        <v>111</v>
      </c>
      <c r="C69" s="179" t="str">
        <f>IF(C$14="70V",10*LOG10($O$45/C$35),"")</f>
        <v/>
      </c>
      <c r="D69" s="179" t="str">
        <f>IF(D$14="70V",10*LOG10($O$45/D$35),"")</f>
        <v/>
      </c>
      <c r="E69" s="179" t="str">
        <f>IF(E$14="70V",10*LOG10($O$45/E$35),"")</f>
        <v/>
      </c>
      <c r="F69" s="179" t="str">
        <f>IF(F$14="70V",10*LOG10($O$45/F$35),"")</f>
        <v/>
      </c>
      <c r="J69" s="176"/>
      <c r="K69" s="180" cm="1">
        <f t="array" ref="K69">IF(AND(C$14:F$14="70V"),10*LOG10($O$64/K$35),$L$35)</f>
        <v>9.7197127504258631</v>
      </c>
      <c r="L69" s="177"/>
      <c r="M69" s="327"/>
    </row>
    <row r="70" spans="2:25" s="1" customFormat="1" ht="14.7" hidden="1" thickBot="1">
      <c r="B70" s="181" t="s">
        <v>112</v>
      </c>
      <c r="C70" s="182" t="str">
        <f>IF(C$14="100V",10*LOG10($O$46/C$35),"")</f>
        <v/>
      </c>
      <c r="D70" s="182" t="str">
        <f>IF(D$14="100V",10*LOG10($O$46/D$35),"")</f>
        <v/>
      </c>
      <c r="E70" s="182" t="str">
        <f>IF(E$14="100V",10*LOG10($O$46/E$35),"")</f>
        <v/>
      </c>
      <c r="F70" s="182" t="str">
        <f>IF(F$14="100V",10*LOG10($O$46/F$35),"")</f>
        <v/>
      </c>
      <c r="J70" s="176"/>
      <c r="K70" s="183" cm="1">
        <f t="array" ref="K70">IF(AND(C$14:F$14="100V"),10*LOG10($O$65/K$35),$L$35)</f>
        <v>9.7197127504258631</v>
      </c>
      <c r="L70" s="177"/>
      <c r="M70" s="327"/>
    </row>
    <row r="71" spans="2:25" s="1" customFormat="1" hidden="1">
      <c r="B71" s="175"/>
      <c r="J71" s="176"/>
      <c r="K71" s="177"/>
      <c r="L71" s="177"/>
      <c r="M71" s="327"/>
    </row>
    <row r="72" spans="2:25" s="1" customFormat="1" hidden="1">
      <c r="B72" s="175"/>
      <c r="J72" s="176"/>
      <c r="K72" s="177"/>
      <c r="L72" s="177"/>
      <c r="M72" s="327"/>
    </row>
    <row r="73" spans="2:25" s="1" customFormat="1" hidden="1">
      <c r="B73" s="175"/>
      <c r="J73" s="176"/>
      <c r="K73" s="177"/>
      <c r="L73" s="177"/>
      <c r="M73" s="327"/>
    </row>
    <row r="74" spans="2:25" s="1" customFormat="1" hidden="1">
      <c r="B74" s="175"/>
      <c r="J74" s="176"/>
      <c r="K74" s="177"/>
      <c r="L74" s="177"/>
      <c r="M74" s="327"/>
    </row>
    <row r="75" spans="2:25" s="1" customFormat="1" hidden="1">
      <c r="B75" s="175"/>
      <c r="J75" s="176"/>
      <c r="K75" s="177"/>
      <c r="L75" s="177"/>
      <c r="M75" s="327"/>
    </row>
    <row r="76" spans="2:25" s="1" customFormat="1" hidden="1">
      <c r="B76" s="175"/>
      <c r="J76" s="176"/>
      <c r="K76" s="177"/>
      <c r="L76" s="177"/>
      <c r="M76" s="327"/>
    </row>
    <row r="77" spans="2:25" s="1" customFormat="1" hidden="1">
      <c r="B77" s="175"/>
      <c r="J77" s="176"/>
      <c r="K77" s="177"/>
      <c r="L77" s="177"/>
      <c r="M77" s="327"/>
    </row>
    <row r="78" spans="2:25" s="1" customFormat="1" hidden="1">
      <c r="B78" s="175"/>
      <c r="J78" s="176"/>
      <c r="K78" s="177"/>
      <c r="L78" s="177"/>
      <c r="M78" s="327"/>
    </row>
    <row r="79" spans="2:25" s="1" customFormat="1" hidden="1">
      <c r="B79" s="175"/>
      <c r="J79" s="176"/>
      <c r="K79" s="177"/>
      <c r="L79" s="177"/>
      <c r="M79" s="327"/>
    </row>
    <row r="80" spans="2:25" s="1" customFormat="1" hidden="1">
      <c r="B80" s="175"/>
      <c r="J80" s="176"/>
      <c r="K80" s="177"/>
      <c r="L80" s="177"/>
      <c r="M80" s="327"/>
    </row>
    <row r="81" spans="2:13" s="1" customFormat="1" hidden="1">
      <c r="B81" s="175"/>
      <c r="J81" s="176"/>
      <c r="K81" s="177"/>
      <c r="L81" s="177"/>
      <c r="M81" s="327"/>
    </row>
    <row r="82" spans="2:13" s="1" customFormat="1" hidden="1">
      <c r="B82" s="175"/>
      <c r="J82" s="176"/>
      <c r="K82" s="177"/>
      <c r="L82" s="177"/>
      <c r="M82" s="327"/>
    </row>
    <row r="83" spans="2:13" s="1" customFormat="1" hidden="1">
      <c r="B83" s="175"/>
      <c r="J83" s="176"/>
      <c r="K83" s="177"/>
      <c r="L83" s="177"/>
      <c r="M83" s="327"/>
    </row>
    <row r="84" spans="2:13" s="1" customFormat="1" hidden="1">
      <c r="B84" s="175"/>
      <c r="J84" s="176"/>
      <c r="K84" s="177"/>
      <c r="L84" s="177"/>
      <c r="M84" s="327"/>
    </row>
    <row r="85" spans="2:13" s="1" customFormat="1" hidden="1">
      <c r="B85" s="175"/>
      <c r="J85" s="176"/>
      <c r="K85" s="177"/>
      <c r="L85" s="177"/>
      <c r="M85" s="327"/>
    </row>
    <row r="86" spans="2:13" s="1" customFormat="1" hidden="1">
      <c r="B86" s="175"/>
      <c r="J86" s="176"/>
      <c r="K86" s="177"/>
      <c r="L86" s="177"/>
      <c r="M86" s="327"/>
    </row>
    <row r="87" spans="2:13" s="1" customFormat="1" hidden="1">
      <c r="B87" s="175"/>
      <c r="J87" s="176"/>
      <c r="K87" s="177"/>
      <c r="L87" s="177"/>
      <c r="M87" s="327"/>
    </row>
    <row r="88" spans="2:13" s="1" customFormat="1" hidden="1">
      <c r="B88" s="175"/>
      <c r="J88" s="176"/>
      <c r="K88" s="177"/>
      <c r="L88" s="177"/>
      <c r="M88" s="327"/>
    </row>
    <row r="89" spans="2:13" s="1" customFormat="1" hidden="1">
      <c r="B89" s="175"/>
      <c r="J89" s="176"/>
      <c r="K89" s="177"/>
      <c r="L89" s="177"/>
      <c r="M89" s="327"/>
    </row>
    <row r="90" spans="2:13" s="1" customFormat="1" hidden="1">
      <c r="B90" s="175"/>
      <c r="J90" s="176"/>
      <c r="K90" s="177"/>
      <c r="L90" s="177"/>
      <c r="M90" s="327"/>
    </row>
    <row r="91" spans="2:13" s="1" customFormat="1" hidden="1">
      <c r="B91" s="175"/>
      <c r="J91" s="176"/>
      <c r="K91" s="177"/>
      <c r="L91" s="177"/>
      <c r="M91" s="327"/>
    </row>
    <row r="92" spans="2:13" s="1" customFormat="1" hidden="1">
      <c r="B92" s="175"/>
      <c r="J92" s="176"/>
      <c r="K92" s="177"/>
      <c r="L92" s="177"/>
      <c r="M92" s="327"/>
    </row>
    <row r="93" spans="2:13" s="1" customFormat="1" hidden="1">
      <c r="B93" s="175"/>
      <c r="J93" s="176"/>
      <c r="K93" s="177"/>
      <c r="L93" s="177"/>
      <c r="M93" s="327"/>
    </row>
    <row r="94" spans="2:13" s="1" customFormat="1" hidden="1">
      <c r="B94" s="175"/>
      <c r="J94" s="176"/>
      <c r="K94" s="177"/>
      <c r="L94" s="177"/>
      <c r="M94" s="327"/>
    </row>
    <row r="95" spans="2:13" s="1" customFormat="1" hidden="1">
      <c r="B95" s="175"/>
      <c r="J95" s="176"/>
      <c r="K95" s="177"/>
      <c r="L95" s="177"/>
      <c r="M95" s="327"/>
    </row>
    <row r="96" spans="2:13" s="60" customFormat="1" ht="16" hidden="1" customHeight="1">
      <c r="B96" s="59" t="s">
        <v>113</v>
      </c>
      <c r="C96" s="130">
        <f t="shared" ref="C96:J96" si="36">10^(C137/10)*C39</f>
        <v>1.330822033764274</v>
      </c>
      <c r="D96" s="130">
        <f t="shared" si="36"/>
        <v>1.330822033764274</v>
      </c>
      <c r="E96" s="130">
        <f t="shared" si="36"/>
        <v>1.330822033764274</v>
      </c>
      <c r="F96" s="130">
        <f t="shared" si="36"/>
        <v>1.330822033764274</v>
      </c>
      <c r="G96" s="130">
        <f t="shared" si="36"/>
        <v>7.9621434110699445E-9</v>
      </c>
      <c r="H96" s="130">
        <f t="shared" si="36"/>
        <v>7.9621434110699445E-9</v>
      </c>
      <c r="I96" s="130">
        <f t="shared" si="36"/>
        <v>7.9621434110699445E-9</v>
      </c>
      <c r="J96" s="131">
        <f t="shared" si="36"/>
        <v>7.9621434110699445E-9</v>
      </c>
      <c r="K96" s="130">
        <f>SUM(C96:J96)</f>
        <v>5.3232881669056713</v>
      </c>
      <c r="L96" s="66"/>
      <c r="M96" s="323"/>
    </row>
    <row r="97" spans="2:43" s="60" customFormat="1" ht="16" hidden="1" customHeight="1">
      <c r="B97" s="59" t="s">
        <v>114</v>
      </c>
      <c r="C97" s="130">
        <f t="shared" ref="C97:J97" si="37">10^($L39/10)*C39</f>
        <v>89.999999461541137</v>
      </c>
      <c r="D97" s="130">
        <f t="shared" si="37"/>
        <v>89.999999461541137</v>
      </c>
      <c r="E97" s="130">
        <f t="shared" si="37"/>
        <v>89.999999461541137</v>
      </c>
      <c r="F97" s="130">
        <f t="shared" si="37"/>
        <v>89.999999461541137</v>
      </c>
      <c r="G97" s="130">
        <f t="shared" si="37"/>
        <v>5.3845885064143532E-7</v>
      </c>
      <c r="H97" s="130">
        <f t="shared" si="37"/>
        <v>5.3845885064143532E-7</v>
      </c>
      <c r="I97" s="130">
        <f t="shared" si="37"/>
        <v>5.3845885064143532E-7</v>
      </c>
      <c r="J97" s="131">
        <f t="shared" si="37"/>
        <v>5.3845885064143532E-7</v>
      </c>
      <c r="K97" s="130">
        <f>SUM(C97:J97)</f>
        <v>359.99999999999989</v>
      </c>
      <c r="L97" s="66"/>
      <c r="M97" s="323"/>
    </row>
    <row r="98" spans="2:43" s="60" customFormat="1" ht="16" hidden="1" customHeight="1">
      <c r="B98" s="59" t="s">
        <v>115</v>
      </c>
      <c r="C98" s="130">
        <f t="shared" ref="C98:J98" si="38">AVERAGE(C96,C97)</f>
        <v>45.665410747652707</v>
      </c>
      <c r="D98" s="130">
        <f t="shared" si="38"/>
        <v>45.665410747652707</v>
      </c>
      <c r="E98" s="130">
        <f t="shared" si="38"/>
        <v>45.665410747652707</v>
      </c>
      <c r="F98" s="130">
        <f t="shared" si="38"/>
        <v>45.665410747652707</v>
      </c>
      <c r="G98" s="130">
        <f t="shared" si="38"/>
        <v>2.7321049702625262E-7</v>
      </c>
      <c r="H98" s="130">
        <f t="shared" si="38"/>
        <v>2.7321049702625262E-7</v>
      </c>
      <c r="I98" s="130">
        <f t="shared" si="38"/>
        <v>2.7321049702625262E-7</v>
      </c>
      <c r="J98" s="131">
        <f t="shared" si="38"/>
        <v>2.7321049702625262E-7</v>
      </c>
      <c r="K98" s="130">
        <f>SUM(C98:J98)</f>
        <v>182.66164408345284</v>
      </c>
      <c r="L98" s="128">
        <f>10*LOG10(O$7/K98)</f>
        <v>2.9465513848157694</v>
      </c>
      <c r="M98" s="319"/>
    </row>
    <row r="99" spans="2:43" s="60" customFormat="1" ht="16" hidden="1" customHeight="1">
      <c r="B99" s="59" t="s">
        <v>115</v>
      </c>
      <c r="C99" s="130">
        <f t="shared" ref="C99:J99" si="39">MIN(10^($L98/10)*C98,C39)</f>
        <v>1.330822033764274</v>
      </c>
      <c r="D99" s="130">
        <f t="shared" si="39"/>
        <v>1.330822033764274</v>
      </c>
      <c r="E99" s="130">
        <f t="shared" si="39"/>
        <v>1.330822033764274</v>
      </c>
      <c r="F99" s="130">
        <f t="shared" si="39"/>
        <v>1.330822033764274</v>
      </c>
      <c r="G99" s="130">
        <f t="shared" si="39"/>
        <v>7.9621434110699445E-9</v>
      </c>
      <c r="H99" s="130">
        <f t="shared" si="39"/>
        <v>7.9621434110699445E-9</v>
      </c>
      <c r="I99" s="130">
        <f t="shared" si="39"/>
        <v>7.9621434110699445E-9</v>
      </c>
      <c r="J99" s="131">
        <f t="shared" si="39"/>
        <v>7.9621434110699445E-9</v>
      </c>
      <c r="K99" s="130">
        <f>SUM(C99:J99)</f>
        <v>5.3232881669056713</v>
      </c>
      <c r="L99" s="66"/>
      <c r="M99" s="323"/>
      <c r="N99" s="130">
        <f>IF(C$100&lt;1,0,C99)+IF(D$100&lt;1,0,D99)+IF(E$100&lt;1,0,E99)+IF(J$100&lt;1,0,J99)</f>
        <v>3.9924661092549654</v>
      </c>
    </row>
    <row r="100" spans="2:43" s="60" customFormat="1" ht="16" hidden="1" customHeight="1">
      <c r="B100" s="59" t="s">
        <v>116</v>
      </c>
      <c r="C100" s="165">
        <f t="shared" ref="C100:J100" si="40">C99/C39</f>
        <v>1</v>
      </c>
      <c r="D100" s="165">
        <f t="shared" si="40"/>
        <v>1</v>
      </c>
      <c r="E100" s="165">
        <f t="shared" si="40"/>
        <v>1</v>
      </c>
      <c r="F100" s="165">
        <f t="shared" si="40"/>
        <v>1</v>
      </c>
      <c r="G100" s="165">
        <f t="shared" si="40"/>
        <v>1</v>
      </c>
      <c r="H100" s="165">
        <f t="shared" si="40"/>
        <v>1</v>
      </c>
      <c r="I100" s="165">
        <f t="shared" si="40"/>
        <v>1</v>
      </c>
      <c r="J100" s="166">
        <f t="shared" si="40"/>
        <v>1</v>
      </c>
      <c r="K100" s="130"/>
      <c r="L100" s="165">
        <f>IF(N100&gt;0,(N100+O100)/N100,1)</f>
        <v>1</v>
      </c>
      <c r="M100" s="325"/>
      <c r="N100" s="130">
        <f>K99-N99</f>
        <v>1.3308220576507059</v>
      </c>
      <c r="O100" s="134">
        <f>MIN(K39,O7)-K99</f>
        <v>0</v>
      </c>
    </row>
    <row r="101" spans="2:43" s="60" customFormat="1" ht="17.100000000000001" hidden="1" customHeight="1" thickBot="1">
      <c r="B101" s="59"/>
      <c r="J101" s="67"/>
      <c r="K101" s="130"/>
      <c r="L101" s="66"/>
      <c r="M101" s="323"/>
      <c r="N101" s="60" t="s">
        <v>117</v>
      </c>
      <c r="O101" s="68">
        <f>O39/O102</f>
        <v>8.1</v>
      </c>
    </row>
    <row r="102" spans="2:43" s="60" customFormat="1" ht="15" hidden="1" customHeight="1">
      <c r="B102" s="117" t="s">
        <v>118</v>
      </c>
      <c r="C102" s="356" t="s">
        <v>35</v>
      </c>
      <c r="D102" s="356"/>
      <c r="E102" s="356"/>
      <c r="F102" s="356"/>
      <c r="G102" s="356"/>
      <c r="H102" s="356"/>
      <c r="I102" s="356"/>
      <c r="J102" s="357"/>
      <c r="K102" s="184" t="s">
        <v>66</v>
      </c>
      <c r="L102" s="185" t="s">
        <v>67</v>
      </c>
      <c r="M102" s="328"/>
      <c r="N102" s="60" t="s">
        <v>119</v>
      </c>
      <c r="O102" s="186">
        <f>INDEX(P102:Z102,1,MATCH(C$9,P$2:Z$2,0))</f>
        <v>4</v>
      </c>
      <c r="P102" s="119">
        <v>4</v>
      </c>
      <c r="Q102" s="119">
        <v>4</v>
      </c>
      <c r="R102" s="119">
        <v>4</v>
      </c>
      <c r="S102" s="119">
        <v>4</v>
      </c>
      <c r="T102" s="119">
        <v>4</v>
      </c>
      <c r="U102" s="119">
        <v>4</v>
      </c>
      <c r="V102" s="119">
        <v>4</v>
      </c>
      <c r="W102" s="119">
        <v>4</v>
      </c>
      <c r="X102" s="119">
        <v>4</v>
      </c>
      <c r="Y102" s="159">
        <v>4</v>
      </c>
      <c r="Z102" s="119">
        <v>4</v>
      </c>
    </row>
    <row r="103" spans="2:43" s="60" customFormat="1" ht="16" hidden="1" customHeight="1">
      <c r="B103" s="59" t="s">
        <v>100</v>
      </c>
      <c r="C103" s="130">
        <f>MIN(C61*C$66^2,C49)</f>
        <v>32</v>
      </c>
      <c r="D103" s="130">
        <f t="shared" ref="D103:J103" si="41">MIN(D61*D$66^2,D49)</f>
        <v>32</v>
      </c>
      <c r="E103" s="130">
        <f t="shared" si="41"/>
        <v>32</v>
      </c>
      <c r="F103" s="130">
        <f t="shared" si="41"/>
        <v>32</v>
      </c>
      <c r="G103" s="130">
        <f t="shared" si="41"/>
        <v>9.9999999999999995E-8</v>
      </c>
      <c r="H103" s="130">
        <f t="shared" si="41"/>
        <v>9.9999999999999995E-8</v>
      </c>
      <c r="I103" s="130">
        <f t="shared" si="41"/>
        <v>9.9999999999999995E-8</v>
      </c>
      <c r="J103" s="131">
        <f t="shared" si="41"/>
        <v>9.9999999999999995E-8</v>
      </c>
      <c r="K103" s="130">
        <f>SUM(C103:J103)</f>
        <v>128.00000039999998</v>
      </c>
      <c r="L103" s="128">
        <f>10*LOG10(O$3/K103)</f>
        <v>9.7197127504258631</v>
      </c>
      <c r="M103" s="319"/>
      <c r="N103" s="130">
        <f>IF(C$66&lt;1,0,C103)+IF(D$66&lt;1,0,D103)+IF(E$66&lt;1,0,E103)+IF(J$66&lt;1,0,J103)</f>
        <v>96.000000099999994</v>
      </c>
    </row>
    <row r="104" spans="2:43" s="60" customFormat="1" ht="16" hidden="1" customHeight="1">
      <c r="B104" s="187" t="s">
        <v>81</v>
      </c>
      <c r="C104" s="130">
        <f t="shared" ref="C104:J104" si="42">MIN(C39,IF(C100&lt;1,$L100,1)*C99)</f>
        <v>1.330822033764274</v>
      </c>
      <c r="D104" s="130">
        <f t="shared" si="42"/>
        <v>1.330822033764274</v>
      </c>
      <c r="E104" s="130">
        <f t="shared" si="42"/>
        <v>1.330822033764274</v>
      </c>
      <c r="F104" s="130">
        <f t="shared" si="42"/>
        <v>1.330822033764274</v>
      </c>
      <c r="G104" s="130">
        <f t="shared" si="42"/>
        <v>7.9621434110699445E-9</v>
      </c>
      <c r="H104" s="130">
        <f t="shared" si="42"/>
        <v>7.9621434110699445E-9</v>
      </c>
      <c r="I104" s="130">
        <f t="shared" si="42"/>
        <v>7.9621434110699445E-9</v>
      </c>
      <c r="J104" s="131">
        <f t="shared" si="42"/>
        <v>7.9621434110699445E-9</v>
      </c>
      <c r="K104" s="130">
        <f>SUM(C104:J104)</f>
        <v>5.3232881669056713</v>
      </c>
      <c r="L104" s="128">
        <f>10*LOG10(O$7/K104)</f>
        <v>18.301225241850698</v>
      </c>
      <c r="M104" s="319"/>
      <c r="N104" s="130"/>
    </row>
    <row r="105" spans="2:43" s="60" customFormat="1" ht="16" hidden="1" customHeight="1">
      <c r="B105" s="187" t="s">
        <v>120</v>
      </c>
      <c r="C105" s="308">
        <f t="shared" ref="C105:J105" si="43">SQRT(C104*C$42)*10^(C$110/20)</f>
        <v>5.0596442562694079</v>
      </c>
      <c r="D105" s="308">
        <f t="shared" si="43"/>
        <v>5.0596442562694079</v>
      </c>
      <c r="E105" s="308">
        <f t="shared" si="43"/>
        <v>5.0596442562694079</v>
      </c>
      <c r="F105" s="308">
        <f t="shared" si="43"/>
        <v>5.0596442562694079</v>
      </c>
      <c r="G105" s="308">
        <f t="shared" si="43"/>
        <v>1.1233497625229582E-2</v>
      </c>
      <c r="H105" s="308">
        <f t="shared" si="43"/>
        <v>1.1233497625229582E-2</v>
      </c>
      <c r="I105" s="308">
        <f t="shared" si="43"/>
        <v>1.1233497625229582E-2</v>
      </c>
      <c r="J105" s="188">
        <f t="shared" si="43"/>
        <v>1.1233497625229582E-2</v>
      </c>
      <c r="K105" s="189"/>
      <c r="L105" s="190"/>
      <c r="M105" s="329"/>
      <c r="N105" s="130"/>
    </row>
    <row r="106" spans="2:43" s="60" customFormat="1" ht="16" hidden="1" customHeight="1">
      <c r="B106" s="59" t="s">
        <v>121</v>
      </c>
      <c r="C106" s="309">
        <f t="shared" ref="C106:J106" si="44">C39*10^(C138/10)</f>
        <v>1.330822033764274</v>
      </c>
      <c r="D106" s="309">
        <f t="shared" si="44"/>
        <v>1.330822033764274</v>
      </c>
      <c r="E106" s="309">
        <f t="shared" si="44"/>
        <v>1.330822033764274</v>
      </c>
      <c r="F106" s="309">
        <f t="shared" si="44"/>
        <v>1.330822033764274</v>
      </c>
      <c r="G106" s="309">
        <f t="shared" si="44"/>
        <v>7.9621434110699445E-9</v>
      </c>
      <c r="H106" s="309">
        <f t="shared" si="44"/>
        <v>7.9621434110699445E-9</v>
      </c>
      <c r="I106" s="309">
        <f t="shared" si="44"/>
        <v>7.9621434110699445E-9</v>
      </c>
      <c r="J106" s="191">
        <f t="shared" si="44"/>
        <v>7.9621434110699445E-9</v>
      </c>
      <c r="K106" s="130">
        <f>SUM(C106:J106)</f>
        <v>5.3232881669056713</v>
      </c>
      <c r="L106" s="128">
        <f>10*LOG10(K106/K39)</f>
        <v>0</v>
      </c>
      <c r="M106" s="319"/>
      <c r="N106" s="130"/>
    </row>
    <row r="107" spans="2:43" s="60" customFormat="1" ht="16" hidden="1" customHeight="1">
      <c r="B107" s="192" t="s">
        <v>122</v>
      </c>
      <c r="C107" s="135">
        <f>C62*C$66</f>
        <v>32</v>
      </c>
      <c r="D107" s="135">
        <f t="shared" ref="D107:J107" si="45">D62*D$66</f>
        <v>32</v>
      </c>
      <c r="E107" s="135">
        <f t="shared" si="45"/>
        <v>32</v>
      </c>
      <c r="F107" s="135">
        <f t="shared" si="45"/>
        <v>32</v>
      </c>
      <c r="G107" s="135">
        <f t="shared" si="45"/>
        <v>4.4721359549995794E-2</v>
      </c>
      <c r="H107" s="135">
        <f t="shared" si="45"/>
        <v>4.4721359549995794E-2</v>
      </c>
      <c r="I107" s="135">
        <f t="shared" si="45"/>
        <v>4.4721359549995794E-2</v>
      </c>
      <c r="J107" s="136">
        <f t="shared" si="45"/>
        <v>4.4721359549995794E-2</v>
      </c>
      <c r="K107" s="189">
        <f>MAX(C107:J107)</f>
        <v>32</v>
      </c>
      <c r="L107" s="190">
        <f>K61-K103</f>
        <v>0</v>
      </c>
      <c r="M107" s="329"/>
      <c r="N107" s="130">
        <f>IF(C$66&lt;1,0,C35)+IF(D$66&lt;1,0,D35)+IF(E$66&lt;1,0,E35)+IF(J$66&lt;1,0,J35)</f>
        <v>96.000000099999994</v>
      </c>
    </row>
    <row r="108" spans="2:43" s="60" customFormat="1" ht="16" hidden="1" customHeight="1">
      <c r="B108" s="192" t="s">
        <v>123</v>
      </c>
      <c r="C108" s="135">
        <f t="shared" ref="C108:J108" si="46">SQRT(C106*C$42)*10^(C$110/20)</f>
        <v>5.0596442562694079</v>
      </c>
      <c r="D108" s="135">
        <f t="shared" si="46"/>
        <v>5.0596442562694079</v>
      </c>
      <c r="E108" s="135">
        <f t="shared" si="46"/>
        <v>5.0596442562694079</v>
      </c>
      <c r="F108" s="135">
        <f t="shared" si="46"/>
        <v>5.0596442562694079</v>
      </c>
      <c r="G108" s="135">
        <f t="shared" si="46"/>
        <v>1.1233497625229582E-2</v>
      </c>
      <c r="H108" s="135">
        <f t="shared" si="46"/>
        <v>1.1233497625229582E-2</v>
      </c>
      <c r="I108" s="135">
        <f t="shared" si="46"/>
        <v>1.1233497625229582E-2</v>
      </c>
      <c r="J108" s="136">
        <f t="shared" si="46"/>
        <v>1.1233497625229582E-2</v>
      </c>
      <c r="K108" s="189"/>
      <c r="L108" s="60">
        <f>SQRT(E133*2*E40)</f>
        <v>25.981364118470044</v>
      </c>
      <c r="M108" s="330"/>
      <c r="AD108" s="130"/>
    </row>
    <row r="109" spans="2:43" s="60" customFormat="1" ht="16" hidden="1" customHeight="1">
      <c r="B109" s="193" t="s">
        <v>124</v>
      </c>
      <c r="C109" s="128">
        <f t="shared" ref="C109:J109" si="47">-INDEX($AD$22:$AD$27,MATCH(C$30,$AB$22:$AB$27,0),1)</f>
        <v>-16.020599913279622</v>
      </c>
      <c r="D109" s="128">
        <f t="shared" si="47"/>
        <v>-16.020599913279622</v>
      </c>
      <c r="E109" s="128">
        <f t="shared" si="47"/>
        <v>-16.020599913279622</v>
      </c>
      <c r="F109" s="128">
        <f t="shared" si="47"/>
        <v>-16.020599913279622</v>
      </c>
      <c r="G109" s="128">
        <f t="shared" si="47"/>
        <v>-12</v>
      </c>
      <c r="H109" s="128">
        <f t="shared" si="47"/>
        <v>-12</v>
      </c>
      <c r="I109" s="128">
        <f t="shared" si="47"/>
        <v>-12</v>
      </c>
      <c r="J109" s="160">
        <f t="shared" si="47"/>
        <v>-12</v>
      </c>
      <c r="K109" s="189"/>
      <c r="L109" s="60">
        <f>SQRT(E134*2*E42)</f>
        <v>32</v>
      </c>
      <c r="M109" s="330"/>
      <c r="AD109" s="130"/>
    </row>
    <row r="110" spans="2:43" s="60" customFormat="1" ht="31.2" hidden="1">
      <c r="B110" s="194" t="s">
        <v>125</v>
      </c>
      <c r="C110" s="128">
        <f>C31+C109</f>
        <v>0.80000000000000071</v>
      </c>
      <c r="D110" s="128">
        <f t="shared" ref="D110:J110" si="48">D31+D109</f>
        <v>0.80000000000000071</v>
      </c>
      <c r="E110" s="128">
        <f t="shared" si="48"/>
        <v>0.80000000000000071</v>
      </c>
      <c r="F110" s="128">
        <f t="shared" si="48"/>
        <v>0.80000000000000071</v>
      </c>
      <c r="G110" s="128">
        <f t="shared" si="48"/>
        <v>2</v>
      </c>
      <c r="H110" s="128">
        <f t="shared" si="48"/>
        <v>2</v>
      </c>
      <c r="I110" s="128">
        <f t="shared" si="48"/>
        <v>2</v>
      </c>
      <c r="J110" s="160">
        <f t="shared" si="48"/>
        <v>2</v>
      </c>
      <c r="K110" s="189"/>
      <c r="M110" s="330"/>
      <c r="AD110" s="130"/>
    </row>
    <row r="111" spans="2:43" s="60" customFormat="1" ht="16" hidden="1" customHeight="1">
      <c r="B111" s="187" t="s">
        <v>126</v>
      </c>
      <c r="C111" s="310">
        <f t="shared" ref="C111:J111" si="49">C63*C$66</f>
        <v>2.6229508196721314</v>
      </c>
      <c r="D111" s="310">
        <f t="shared" si="49"/>
        <v>2.6229508196721314</v>
      </c>
      <c r="E111" s="310">
        <f t="shared" si="49"/>
        <v>2.6229508196721314</v>
      </c>
      <c r="F111" s="310">
        <f t="shared" si="49"/>
        <v>2.6229508196721314</v>
      </c>
      <c r="G111" s="310">
        <f t="shared" si="49"/>
        <v>5.9626889349611736E-6</v>
      </c>
      <c r="H111" s="310">
        <f t="shared" si="49"/>
        <v>5.9626889349611736E-6</v>
      </c>
      <c r="I111" s="310">
        <f t="shared" si="49"/>
        <v>5.9626889349611736E-6</v>
      </c>
      <c r="J111" s="195">
        <f t="shared" si="49"/>
        <v>5.9626889349611736E-6</v>
      </c>
      <c r="K111" s="66"/>
      <c r="L111" s="196">
        <f>(MIN(L107,N111)+N103)/N103</f>
        <v>1</v>
      </c>
      <c r="M111" s="331"/>
      <c r="N111" s="168">
        <f>N107-N103</f>
        <v>0</v>
      </c>
      <c r="AQ111" s="294">
        <f>C111+D111+E111+F111</f>
        <v>10.491803278688526</v>
      </c>
    </row>
    <row r="112" spans="2:43" s="60" customFormat="1" ht="25.8">
      <c r="B112" s="59" t="str">
        <f>IF(LEN($C9)&gt;9,"Set dipswitch to","")</f>
        <v>Set dipswitch to</v>
      </c>
      <c r="C112" s="197" t="str" cm="1">
        <f t="array" ref="C112">IF(LEN($B112)&lt;1,"",IF(DipSwitchOverride($C$9,C$13)="",IF(C14=$G2,IF(C107&lt;=$O9,"Lo-Z",IF(C107&gt;100,$G3,$G4)),C14),DipSwitchOverride($C$9,C$13)))</f>
        <v>Lo-Z</v>
      </c>
      <c r="D112" s="197" t="str" cm="1">
        <f t="array" ref="D112">IF(LEN($B112)&lt;1,"",IF(DipSwitchOverride($C$9,D$13)="",IF(D14=$G2,IF(D107&lt;=$O9,"Lo-Z",IF(D107&gt;100,$G3,$G4)),D14),DipSwitchOverride($C$9,D$13)))</f>
        <v>Lo-Z</v>
      </c>
      <c r="E112" s="197" t="str" cm="1">
        <f t="array" ref="E112">IF(LEN($B112)&lt;1,"",IF(DipSwitchOverride($C$9,E$13)="",IF(E14=$G2,IF(E107&lt;=$O9,"Lo-Z",IF(E107&gt;100,$G3,$G4)),E14),DipSwitchOverride($C$9,E$13)))</f>
        <v>Lo-Z</v>
      </c>
      <c r="F112" s="197" t="str" cm="1">
        <f t="array" ref="F112">IF(LEN($B112)&lt;1,"",IF(DipSwitchOverride($C$9,F$13)="",IF(F14=$G2,IF(F107&lt;=$O9,"Lo-Z",IF(F107&gt;100,$G3,$G4)),F14),DipSwitchOverride($C$9,F$13)))</f>
        <v>Lo-Z</v>
      </c>
      <c r="G112" s="198" t="str">
        <f>IF(LEN($B112)&lt;1,"",IF(G14=$G2,IF(G107&lt;$O9,"Lo-Z",IF(G107&gt;100,$G3,$G4)),G14))</f>
        <v>Unused</v>
      </c>
      <c r="H112" s="198" t="str">
        <f>IF(LEN($B112)&lt;1,"",IF(H14=$G2,IF(H107&lt;$O9,"Lo-Z",IF(H107&gt;100,$G3,$G4)),H14))</f>
        <v>Unused</v>
      </c>
      <c r="I112" s="198" t="str">
        <f>IF(LEN($B112)&lt;1,"",IF(I14=$G2,IF(I107&lt;$O9,"Lo-Z",IF(I107&gt;100,$G3,$G4)),I14))</f>
        <v>Unused</v>
      </c>
      <c r="J112" s="199" t="str">
        <f>IF(LEN($B112)&lt;1,"",IF(J14=$G2,IF(J107&lt;$O9,"Lo-Z",IF(J107&gt;100,$G3,$G4)),J14))</f>
        <v>Unused</v>
      </c>
      <c r="L112" s="196"/>
      <c r="M112" s="345" t="s">
        <v>292</v>
      </c>
      <c r="N112" s="168"/>
    </row>
    <row r="113" spans="2:26" s="60" customFormat="1" ht="18" hidden="1" customHeight="1">
      <c r="B113" s="59"/>
      <c r="C113" s="198"/>
      <c r="D113" s="198"/>
      <c r="E113" s="198"/>
      <c r="F113" s="198"/>
      <c r="G113" s="198"/>
      <c r="H113" s="198"/>
      <c r="I113" s="198"/>
      <c r="J113" s="199"/>
      <c r="L113" s="196"/>
      <c r="M113" s="332"/>
      <c r="N113" s="168"/>
    </row>
    <row r="114" spans="2:26" s="60" customFormat="1" ht="18" hidden="1" customHeight="1">
      <c r="B114" s="200" t="s">
        <v>127</v>
      </c>
      <c r="C114" s="198"/>
      <c r="D114" s="198"/>
      <c r="E114" s="198"/>
      <c r="F114" s="198"/>
      <c r="G114" s="198"/>
      <c r="H114" s="198"/>
      <c r="I114" s="198"/>
      <c r="J114" s="199"/>
      <c r="L114" s="196"/>
      <c r="M114" s="332"/>
      <c r="N114" s="168"/>
    </row>
    <row r="115" spans="2:26" s="60" customFormat="1" ht="18" hidden="1" customHeight="1">
      <c r="B115" s="59" t="s">
        <v>128</v>
      </c>
      <c r="C115" s="305">
        <f>C$41</f>
        <v>2.2903933372554728</v>
      </c>
      <c r="D115" s="305">
        <f t="shared" ref="D115:J115" si="50">D$41</f>
        <v>2.2903933372554728</v>
      </c>
      <c r="E115" s="305">
        <f t="shared" si="50"/>
        <v>2.2903933372554728</v>
      </c>
      <c r="F115" s="305">
        <f t="shared" si="50"/>
        <v>2.2903933372554728</v>
      </c>
      <c r="G115" s="305">
        <f t="shared" si="50"/>
        <v>5.1639089432829867E-6</v>
      </c>
      <c r="H115" s="305">
        <f t="shared" si="50"/>
        <v>5.1639089432829867E-6</v>
      </c>
      <c r="I115" s="305">
        <f t="shared" si="50"/>
        <v>5.1639089432829867E-6</v>
      </c>
      <c r="J115" s="142">
        <f t="shared" si="50"/>
        <v>5.1639089432829867E-6</v>
      </c>
      <c r="L115" s="196"/>
      <c r="M115" s="332"/>
      <c r="N115" s="168"/>
    </row>
    <row r="116" spans="2:26" s="60" customFormat="1" ht="18" hidden="1" customHeight="1">
      <c r="B116" s="59" t="s">
        <v>129</v>
      </c>
      <c r="C116" s="201">
        <f t="shared" ref="C116:J116" si="51">IF($C$9="X4L",C$115*0.25*2,IF($C$9="X4",C$115*0.25,0))</f>
        <v>0</v>
      </c>
      <c r="D116" s="201">
        <f t="shared" si="51"/>
        <v>0</v>
      </c>
      <c r="E116" s="201">
        <f t="shared" si="51"/>
        <v>0</v>
      </c>
      <c r="F116" s="201">
        <f t="shared" si="51"/>
        <v>0</v>
      </c>
      <c r="G116" s="201">
        <f t="shared" si="51"/>
        <v>0</v>
      </c>
      <c r="H116" s="201">
        <f t="shared" si="51"/>
        <v>0</v>
      </c>
      <c r="I116" s="201">
        <f t="shared" si="51"/>
        <v>0</v>
      </c>
      <c r="J116" s="311">
        <f t="shared" si="51"/>
        <v>0</v>
      </c>
      <c r="L116" s="196"/>
      <c r="M116" s="332"/>
      <c r="N116" s="168"/>
    </row>
    <row r="117" spans="2:26" s="60" customFormat="1" ht="18" hidden="1" customHeight="1">
      <c r="B117" s="59" t="s">
        <v>130</v>
      </c>
      <c r="C117" s="202">
        <f t="shared" ref="C117:J117" si="52">IF($C$9="X4L",300-C$116,IF($C$9="X4",175-C$116,$O$11))</f>
        <v>145</v>
      </c>
      <c r="D117" s="202">
        <f t="shared" si="52"/>
        <v>145</v>
      </c>
      <c r="E117" s="202">
        <f t="shared" si="52"/>
        <v>145</v>
      </c>
      <c r="F117" s="202">
        <f t="shared" si="52"/>
        <v>145</v>
      </c>
      <c r="G117" s="202">
        <f t="shared" si="52"/>
        <v>145</v>
      </c>
      <c r="H117" s="202">
        <f t="shared" si="52"/>
        <v>145</v>
      </c>
      <c r="I117" s="202">
        <f t="shared" si="52"/>
        <v>145</v>
      </c>
      <c r="J117" s="221">
        <f t="shared" si="52"/>
        <v>145</v>
      </c>
      <c r="L117" s="196"/>
      <c r="M117" s="332"/>
      <c r="N117" s="168"/>
    </row>
    <row r="118" spans="2:26" s="60" customFormat="1" ht="18" hidden="1" customHeight="1">
      <c r="B118" s="169" t="s">
        <v>67</v>
      </c>
      <c r="C118" s="203">
        <f t="shared" ref="C118:J118" si="53">IF(OR($C9="X4",$C9="X4L",$C9="X8"),10*LOG10(C$117/C$40),35)</f>
        <v>35</v>
      </c>
      <c r="D118" s="203">
        <f t="shared" si="53"/>
        <v>35</v>
      </c>
      <c r="E118" s="203">
        <f t="shared" si="53"/>
        <v>35</v>
      </c>
      <c r="F118" s="203">
        <f t="shared" si="53"/>
        <v>35</v>
      </c>
      <c r="G118" s="203">
        <f t="shared" si="53"/>
        <v>35</v>
      </c>
      <c r="H118" s="203">
        <f t="shared" si="53"/>
        <v>35</v>
      </c>
      <c r="I118" s="203">
        <f t="shared" si="53"/>
        <v>35</v>
      </c>
      <c r="J118" s="312">
        <f t="shared" si="53"/>
        <v>35</v>
      </c>
      <c r="L118" s="196"/>
      <c r="M118" s="332"/>
      <c r="N118" s="168"/>
    </row>
    <row r="119" spans="2:26" s="60" customFormat="1" ht="16" hidden="1" customHeight="1">
      <c r="B119" s="59"/>
      <c r="J119" s="67"/>
      <c r="K119" s="66"/>
      <c r="L119" s="66"/>
      <c r="M119" s="317"/>
    </row>
    <row r="120" spans="2:26" s="60" customFormat="1" ht="16" hidden="1" customHeight="1">
      <c r="B120" s="59" t="s">
        <v>131</v>
      </c>
      <c r="C120" s="128">
        <f t="shared" ref="C120:J120" si="54">10*LOG10(C104/C39)</f>
        <v>0</v>
      </c>
      <c r="D120" s="128">
        <f t="shared" si="54"/>
        <v>0</v>
      </c>
      <c r="E120" s="128">
        <f t="shared" si="54"/>
        <v>0</v>
      </c>
      <c r="F120" s="128">
        <f t="shared" si="54"/>
        <v>0</v>
      </c>
      <c r="G120" s="128">
        <f t="shared" si="54"/>
        <v>0</v>
      </c>
      <c r="H120" s="128">
        <f t="shared" si="54"/>
        <v>0</v>
      </c>
      <c r="I120" s="128">
        <f t="shared" si="54"/>
        <v>0</v>
      </c>
      <c r="J120" s="160">
        <f t="shared" si="54"/>
        <v>0</v>
      </c>
      <c r="K120" s="66"/>
      <c r="L120" s="128">
        <f>MIN(C120:J120)</f>
        <v>0</v>
      </c>
      <c r="M120" s="319"/>
      <c r="N120" s="60" t="s">
        <v>132</v>
      </c>
      <c r="Z120" s="68">
        <f>1600</f>
        <v>1600</v>
      </c>
    </row>
    <row r="121" spans="2:26" s="60" customFormat="1" ht="16" hidden="1" customHeight="1">
      <c r="B121" s="59" t="s">
        <v>133</v>
      </c>
      <c r="C121" s="204">
        <f t="shared" ref="C121:J121" si="55">10*LOG10(2*C103/C104)</f>
        <v>16.820599913279622</v>
      </c>
      <c r="D121" s="204">
        <f t="shared" si="55"/>
        <v>16.820599913279622</v>
      </c>
      <c r="E121" s="204">
        <f t="shared" si="55"/>
        <v>16.820599913279622</v>
      </c>
      <c r="F121" s="204">
        <f t="shared" si="55"/>
        <v>16.820599913279622</v>
      </c>
      <c r="G121" s="204">
        <f t="shared" si="55"/>
        <v>14</v>
      </c>
      <c r="H121" s="204">
        <f t="shared" si="55"/>
        <v>14</v>
      </c>
      <c r="I121" s="204">
        <f t="shared" si="55"/>
        <v>14</v>
      </c>
      <c r="J121" s="205">
        <f t="shared" si="55"/>
        <v>14</v>
      </c>
      <c r="K121" s="66"/>
      <c r="L121" s="66"/>
      <c r="M121" s="323"/>
      <c r="N121" s="60" t="s">
        <v>134</v>
      </c>
      <c r="Z121" s="60">
        <v>2117</v>
      </c>
    </row>
    <row r="122" spans="2:26" s="60" customFormat="1" ht="16" hidden="1" customHeight="1">
      <c r="B122" s="59" t="s">
        <v>135</v>
      </c>
      <c r="C122" s="204">
        <f t="shared" ref="C122:J122" si="56">C31-C121</f>
        <v>0</v>
      </c>
      <c r="D122" s="204">
        <f t="shared" si="56"/>
        <v>0</v>
      </c>
      <c r="E122" s="204">
        <f t="shared" si="56"/>
        <v>0</v>
      </c>
      <c r="F122" s="204">
        <f t="shared" si="56"/>
        <v>0</v>
      </c>
      <c r="G122" s="204">
        <f t="shared" si="56"/>
        <v>0</v>
      </c>
      <c r="H122" s="204">
        <f t="shared" si="56"/>
        <v>0</v>
      </c>
      <c r="I122" s="204">
        <f t="shared" si="56"/>
        <v>0</v>
      </c>
      <c r="J122" s="205">
        <f t="shared" si="56"/>
        <v>0</v>
      </c>
      <c r="K122" s="66"/>
      <c r="L122" s="66"/>
      <c r="M122" s="323"/>
      <c r="N122" s="60" t="s">
        <v>136</v>
      </c>
      <c r="Z122" s="206">
        <f>1/3.412142*Z120+Z120</f>
        <v>2068.9136618581524</v>
      </c>
    </row>
    <row r="123" spans="2:26" s="60" customFormat="1" ht="16" hidden="1" customHeight="1">
      <c r="B123" s="47" t="s">
        <v>137</v>
      </c>
      <c r="J123" s="67"/>
      <c r="K123" s="66"/>
      <c r="L123" s="66"/>
      <c r="M123" s="323"/>
      <c r="N123" s="60" t="s">
        <v>138</v>
      </c>
      <c r="Z123" s="60">
        <f>Z120/(Z122-Z39)</f>
        <v>0.84704771441276794</v>
      </c>
    </row>
    <row r="124" spans="2:26" s="60" customFormat="1" ht="16" hidden="1" customHeight="1">
      <c r="B124" s="162" t="s">
        <v>139</v>
      </c>
      <c r="J124" s="67"/>
      <c r="K124" s="66"/>
      <c r="L124" s="66"/>
      <c r="M124" s="323"/>
    </row>
    <row r="125" spans="2:26" s="60" customFormat="1" ht="16" hidden="1" customHeight="1">
      <c r="B125" s="59" t="s">
        <v>140</v>
      </c>
      <c r="C125" s="126">
        <f t="shared" ref="C125:J125" si="57">MIN(C103*1.4,$O28)</f>
        <v>44.8</v>
      </c>
      <c r="D125" s="126">
        <f t="shared" si="57"/>
        <v>44.8</v>
      </c>
      <c r="E125" s="126">
        <f t="shared" si="57"/>
        <v>44.8</v>
      </c>
      <c r="F125" s="126">
        <f t="shared" si="57"/>
        <v>44.8</v>
      </c>
      <c r="G125" s="126">
        <f t="shared" si="57"/>
        <v>1.3999999999999998E-7</v>
      </c>
      <c r="H125" s="126">
        <f t="shared" si="57"/>
        <v>1.3999999999999998E-7</v>
      </c>
      <c r="I125" s="126">
        <f t="shared" si="57"/>
        <v>1.3999999999999998E-7</v>
      </c>
      <c r="J125" s="127">
        <f t="shared" si="57"/>
        <v>1.3999999999999998E-7</v>
      </c>
      <c r="K125" s="130">
        <f>SUM(C125:J125)</f>
        <v>179.20000055999998</v>
      </c>
      <c r="L125" s="128">
        <f>-10*LOG10(K103/K125)</f>
        <v>1.4612803567823809</v>
      </c>
      <c r="M125" s="319"/>
      <c r="N125" s="60" t="s">
        <v>141</v>
      </c>
    </row>
    <row r="126" spans="2:26" s="60" customFormat="1" ht="16" hidden="1" customHeight="1">
      <c r="B126" s="59" t="s">
        <v>54</v>
      </c>
      <c r="C126" s="126">
        <f t="shared" ref="C126:J126" si="58">MIN(C104*2,$O29)</f>
        <v>2.661644067528548</v>
      </c>
      <c r="D126" s="126">
        <f t="shared" si="58"/>
        <v>2.661644067528548</v>
      </c>
      <c r="E126" s="126">
        <f t="shared" si="58"/>
        <v>2.661644067528548</v>
      </c>
      <c r="F126" s="126">
        <f t="shared" si="58"/>
        <v>2.661644067528548</v>
      </c>
      <c r="G126" s="126">
        <f t="shared" si="58"/>
        <v>1.5924286822139889E-8</v>
      </c>
      <c r="H126" s="126">
        <f t="shared" si="58"/>
        <v>1.5924286822139889E-8</v>
      </c>
      <c r="I126" s="126">
        <f t="shared" si="58"/>
        <v>1.5924286822139889E-8</v>
      </c>
      <c r="J126" s="127">
        <f t="shared" si="58"/>
        <v>1.5924286822139889E-8</v>
      </c>
      <c r="K126" s="130">
        <f>SUM(C126:J126)</f>
        <v>10.646576333811343</v>
      </c>
      <c r="L126" s="128"/>
      <c r="M126" s="319"/>
    </row>
    <row r="127" spans="2:26" s="60" customFormat="1" ht="16" hidden="1" customHeight="1">
      <c r="B127" s="59" t="s">
        <v>142</v>
      </c>
      <c r="J127" s="67"/>
      <c r="K127" s="126">
        <f>MIN(K130*1.4,O$12)</f>
        <v>59.065237127445727</v>
      </c>
      <c r="L127" s="66"/>
      <c r="M127" s="323"/>
      <c r="N127" s="128">
        <f>10*LOG10(K104/K126)</f>
        <v>-3.0102999566398121</v>
      </c>
    </row>
    <row r="128" spans="2:26" s="60" customFormat="1" ht="16" hidden="1" customHeight="1">
      <c r="B128" s="59" t="s">
        <v>143</v>
      </c>
      <c r="C128" s="207">
        <f t="shared" ref="C128:J128" si="59">IF(C$14="Unused",0,C107*$O33+$O34)</f>
        <v>0.5437777777777778</v>
      </c>
      <c r="D128" s="207">
        <f t="shared" si="59"/>
        <v>0.5437777777777778</v>
      </c>
      <c r="E128" s="207">
        <f t="shared" si="59"/>
        <v>0.5437777777777778</v>
      </c>
      <c r="F128" s="207">
        <f t="shared" si="59"/>
        <v>0.5437777777777778</v>
      </c>
      <c r="G128" s="207">
        <f t="shared" si="59"/>
        <v>0</v>
      </c>
      <c r="H128" s="207">
        <f t="shared" si="59"/>
        <v>0</v>
      </c>
      <c r="I128" s="207">
        <f t="shared" si="59"/>
        <v>0</v>
      </c>
      <c r="J128" s="208">
        <f t="shared" si="59"/>
        <v>0</v>
      </c>
      <c r="K128" s="207">
        <f>K104/(K130-O39)</f>
        <v>0.54377778103113306</v>
      </c>
      <c r="L128" s="66"/>
      <c r="M128" s="323"/>
    </row>
    <row r="129" spans="2:36" s="60" customFormat="1" ht="16" hidden="1" customHeight="1">
      <c r="B129" s="59" t="s">
        <v>144</v>
      </c>
      <c r="C129" s="130">
        <f t="shared" ref="C129:J129" si="60">IF(C$14="Unused",0,C126/C$128+$O$101)</f>
        <v>12.994727545516332</v>
      </c>
      <c r="D129" s="130">
        <f t="shared" si="60"/>
        <v>12.994727545516332</v>
      </c>
      <c r="E129" s="130">
        <f t="shared" si="60"/>
        <v>12.994727545516332</v>
      </c>
      <c r="F129" s="130">
        <f t="shared" si="60"/>
        <v>12.994727545516332</v>
      </c>
      <c r="G129" s="130">
        <f t="shared" si="60"/>
        <v>0</v>
      </c>
      <c r="H129" s="130">
        <f t="shared" si="60"/>
        <v>0</v>
      </c>
      <c r="I129" s="130">
        <f t="shared" si="60"/>
        <v>0</v>
      </c>
      <c r="J129" s="131">
        <f t="shared" si="60"/>
        <v>0</v>
      </c>
      <c r="K129" s="130">
        <f>SUM(C129:J129)</f>
        <v>51.978910182065327</v>
      </c>
      <c r="L129" s="128">
        <f>10*LOG10(O$12/K129)</f>
        <v>10.24535519886715</v>
      </c>
      <c r="M129" s="319"/>
    </row>
    <row r="130" spans="2:36" s="60" customFormat="1" ht="16" hidden="1" customHeight="1">
      <c r="B130" s="59" t="s">
        <v>145</v>
      </c>
      <c r="C130" s="130">
        <f t="shared" ref="C130:J130" si="61">IF(C$14="Unused",0,C104/C$128+$O$101)</f>
        <v>10.547363772758166</v>
      </c>
      <c r="D130" s="130">
        <f t="shared" si="61"/>
        <v>10.547363772758166</v>
      </c>
      <c r="E130" s="130">
        <f t="shared" si="61"/>
        <v>10.547363772758166</v>
      </c>
      <c r="F130" s="130">
        <f t="shared" si="61"/>
        <v>10.547363772758166</v>
      </c>
      <c r="G130" s="130">
        <f t="shared" si="61"/>
        <v>0</v>
      </c>
      <c r="H130" s="130">
        <f t="shared" si="61"/>
        <v>0</v>
      </c>
      <c r="I130" s="130">
        <f t="shared" si="61"/>
        <v>0</v>
      </c>
      <c r="J130" s="131">
        <f t="shared" si="61"/>
        <v>0</v>
      </c>
      <c r="K130" s="130">
        <f>SUM(C130:J130)</f>
        <v>42.189455091032663</v>
      </c>
      <c r="L130" s="128">
        <f>10*LOG10(O$12/K130)</f>
        <v>11.151587733203721</v>
      </c>
      <c r="M130" s="319"/>
    </row>
    <row r="131" spans="2:36" s="60" customFormat="1" ht="16" hidden="1" customHeight="1">
      <c r="B131" s="59" t="s">
        <v>146</v>
      </c>
      <c r="J131" s="67"/>
      <c r="K131" s="209">
        <f>K130/O40/C10</f>
        <v>0.44739613033968889</v>
      </c>
      <c r="L131" s="66"/>
      <c r="M131" s="317"/>
    </row>
    <row r="132" spans="2:36" s="60" customFormat="1" ht="18" hidden="1" customHeight="1">
      <c r="B132" s="59" t="s">
        <v>147</v>
      </c>
      <c r="J132" s="67"/>
      <c r="K132" s="209">
        <f>MIN(MIN(O42,K130)/O40/$C10,O43,$E10)</f>
        <v>0.44739613033968889</v>
      </c>
      <c r="L132" s="128">
        <f>-10*LOG10(K132/O43)</f>
        <v>12.243690399551568</v>
      </c>
      <c r="M132" s="333"/>
      <c r="N132" s="60" t="s">
        <v>148</v>
      </c>
      <c r="Z132" s="60">
        <v>3892</v>
      </c>
    </row>
    <row r="133" spans="2:36" s="60" customFormat="1" ht="16" hidden="1" customHeight="1">
      <c r="B133" s="59" t="s">
        <v>149</v>
      </c>
      <c r="C133" s="130">
        <f t="shared" ref="C133:J133" si="62">((C130-$O101)/($K130-$O39))*($K133-$O39)+$O101</f>
        <v>10.547363772758166</v>
      </c>
      <c r="D133" s="130">
        <f t="shared" si="62"/>
        <v>10.547363772758166</v>
      </c>
      <c r="E133" s="130">
        <f t="shared" si="62"/>
        <v>10.547363772758166</v>
      </c>
      <c r="F133" s="130">
        <f t="shared" si="62"/>
        <v>10.547363772758166</v>
      </c>
      <c r="G133" s="130">
        <f t="shared" si="62"/>
        <v>0</v>
      </c>
      <c r="H133" s="130">
        <f t="shared" si="62"/>
        <v>0</v>
      </c>
      <c r="I133" s="130">
        <f t="shared" si="62"/>
        <v>0</v>
      </c>
      <c r="J133" s="131">
        <f t="shared" si="62"/>
        <v>0</v>
      </c>
      <c r="K133" s="130">
        <f>K132*$C10*O40</f>
        <v>42.189455091032663</v>
      </c>
      <c r="L133" s="66"/>
      <c r="M133" s="333"/>
      <c r="N133" s="60" t="s">
        <v>150</v>
      </c>
      <c r="Z133" s="60">
        <f>SQRT(Z135/8*8*8*2)</f>
        <v>226.27416997969522</v>
      </c>
    </row>
    <row r="134" spans="2:36" s="60" customFormat="1" ht="16" hidden="1" customHeight="1">
      <c r="B134" s="59" t="s">
        <v>151</v>
      </c>
      <c r="C134" s="130">
        <f t="shared" ref="C134:J134" si="63">C35/C39*C135</f>
        <v>32</v>
      </c>
      <c r="D134" s="130">
        <f t="shared" si="63"/>
        <v>32</v>
      </c>
      <c r="E134" s="130">
        <f t="shared" si="63"/>
        <v>32</v>
      </c>
      <c r="F134" s="130">
        <f t="shared" si="63"/>
        <v>32</v>
      </c>
      <c r="G134" s="130">
        <f t="shared" si="63"/>
        <v>0</v>
      </c>
      <c r="H134" s="130">
        <f t="shared" si="63"/>
        <v>0</v>
      </c>
      <c r="I134" s="130">
        <f t="shared" si="63"/>
        <v>0</v>
      </c>
      <c r="J134" s="131">
        <f t="shared" si="63"/>
        <v>0</v>
      </c>
      <c r="K134" s="130">
        <f>SUM($C134:J134)</f>
        <v>128</v>
      </c>
      <c r="L134" s="66"/>
      <c r="M134" s="319"/>
    </row>
    <row r="135" spans="2:36" s="60" customFormat="1" ht="16" hidden="1" customHeight="1">
      <c r="B135" s="59" t="s">
        <v>152</v>
      </c>
      <c r="C135" s="130">
        <f t="shared" ref="C135:J135" si="64">(C133-$O101)*C128</f>
        <v>1.330822033764274</v>
      </c>
      <c r="D135" s="130">
        <f t="shared" si="64"/>
        <v>1.330822033764274</v>
      </c>
      <c r="E135" s="130">
        <f t="shared" si="64"/>
        <v>1.330822033764274</v>
      </c>
      <c r="F135" s="130">
        <f t="shared" si="64"/>
        <v>1.330822033764274</v>
      </c>
      <c r="G135" s="130">
        <f t="shared" si="64"/>
        <v>0</v>
      </c>
      <c r="H135" s="130">
        <f t="shared" si="64"/>
        <v>0</v>
      </c>
      <c r="I135" s="130">
        <f t="shared" si="64"/>
        <v>0</v>
      </c>
      <c r="J135" s="131">
        <f t="shared" si="64"/>
        <v>0</v>
      </c>
      <c r="K135" s="130">
        <f>SUM($C135:J135)</f>
        <v>5.323288135057096</v>
      </c>
      <c r="L135" s="66"/>
      <c r="M135" s="319"/>
      <c r="N135" s="60" t="s">
        <v>153</v>
      </c>
      <c r="P135" s="68">
        <v>500</v>
      </c>
      <c r="Q135" s="68">
        <v>1000</v>
      </c>
      <c r="R135" s="68">
        <v>2400</v>
      </c>
      <c r="S135" s="68">
        <v>1500</v>
      </c>
      <c r="T135" s="68">
        <v>800</v>
      </c>
      <c r="U135" s="68">
        <v>400</v>
      </c>
      <c r="V135" s="68">
        <v>2000</v>
      </c>
      <c r="W135" s="68">
        <v>1250</v>
      </c>
      <c r="X135" s="68">
        <v>750</v>
      </c>
      <c r="Y135" s="68">
        <v>3000</v>
      </c>
      <c r="Z135" s="68">
        <f>1600/4*8</f>
        <v>3200</v>
      </c>
    </row>
    <row r="136" spans="2:36" s="60" customFormat="1" ht="16" hidden="1" customHeight="1">
      <c r="B136" s="210" t="s">
        <v>154</v>
      </c>
      <c r="C136" s="204">
        <f>C137-C138</f>
        <v>0</v>
      </c>
      <c r="D136" s="204">
        <f t="shared" ref="D136:J136" si="65">D137-D138</f>
        <v>0</v>
      </c>
      <c r="E136" s="204">
        <f t="shared" si="65"/>
        <v>0</v>
      </c>
      <c r="F136" s="204">
        <f t="shared" si="65"/>
        <v>0</v>
      </c>
      <c r="G136" s="204">
        <f t="shared" si="65"/>
        <v>0</v>
      </c>
      <c r="H136" s="204">
        <f t="shared" si="65"/>
        <v>0</v>
      </c>
      <c r="I136" s="204">
        <f t="shared" si="65"/>
        <v>0</v>
      </c>
      <c r="J136" s="205">
        <f t="shared" si="65"/>
        <v>0</v>
      </c>
      <c r="K136" s="204">
        <f>MAX($C136:F136)</f>
        <v>0</v>
      </c>
      <c r="L136" s="66"/>
      <c r="M136" s="323"/>
      <c r="P136" s="68"/>
      <c r="Q136" s="68"/>
      <c r="R136" s="68"/>
      <c r="S136" s="68"/>
      <c r="T136" s="68"/>
      <c r="U136" s="68"/>
      <c r="V136" s="68"/>
      <c r="W136" s="68"/>
      <c r="X136" s="68"/>
      <c r="Y136" s="68"/>
      <c r="Z136" s="68"/>
    </row>
    <row r="137" spans="2:36" s="60" customFormat="1" ht="18" hidden="1" customHeight="1">
      <c r="B137" s="59" t="s">
        <v>155</v>
      </c>
      <c r="C137" s="128">
        <f>10*LOG10(C103/C35)</f>
        <v>0</v>
      </c>
      <c r="D137" s="128">
        <f t="shared" ref="D137:J137" si="66">10*LOG10(D103/D35)</f>
        <v>0</v>
      </c>
      <c r="E137" s="128">
        <f t="shared" si="66"/>
        <v>0</v>
      </c>
      <c r="F137" s="128">
        <f t="shared" si="66"/>
        <v>0</v>
      </c>
      <c r="G137" s="128">
        <f t="shared" si="66"/>
        <v>0</v>
      </c>
      <c r="H137" s="128">
        <f t="shared" si="66"/>
        <v>0</v>
      </c>
      <c r="I137" s="128">
        <f t="shared" si="66"/>
        <v>0</v>
      </c>
      <c r="J137" s="160">
        <f t="shared" si="66"/>
        <v>0</v>
      </c>
      <c r="K137" s="128">
        <f>MIN(C137:J137)</f>
        <v>0</v>
      </c>
      <c r="L137" s="128"/>
      <c r="M137" s="323"/>
      <c r="N137" s="60" t="s">
        <v>156</v>
      </c>
      <c r="Z137" s="60">
        <f>SQRT(Z120/8*8*8*2)</f>
        <v>160</v>
      </c>
    </row>
    <row r="138" spans="2:36" s="60" customFormat="1" ht="18" hidden="1" customHeight="1">
      <c r="B138" s="59" t="s">
        <v>157</v>
      </c>
      <c r="C138" s="128">
        <f t="shared" ref="C138:J138" si="67">IF(C$14="Unused",0,10*LOG10(C135/C39))</f>
        <v>0</v>
      </c>
      <c r="D138" s="128">
        <f t="shared" si="67"/>
        <v>0</v>
      </c>
      <c r="E138" s="128">
        <f t="shared" si="67"/>
        <v>0</v>
      </c>
      <c r="F138" s="128">
        <f t="shared" si="67"/>
        <v>0</v>
      </c>
      <c r="G138" s="128">
        <f t="shared" si="67"/>
        <v>0</v>
      </c>
      <c r="H138" s="128">
        <f t="shared" si="67"/>
        <v>0</v>
      </c>
      <c r="I138" s="128">
        <f t="shared" si="67"/>
        <v>0</v>
      </c>
      <c r="J138" s="160">
        <f t="shared" si="67"/>
        <v>0</v>
      </c>
      <c r="K138" s="128">
        <f t="shared" ref="K138" si="68">10*LOG10(K135/K39)</f>
        <v>-2.5983302213723157E-8</v>
      </c>
      <c r="L138" s="66"/>
      <c r="M138" s="319"/>
      <c r="N138" s="60" t="s">
        <v>158</v>
      </c>
      <c r="R138" s="60">
        <v>1713</v>
      </c>
      <c r="S138" s="60">
        <v>760</v>
      </c>
      <c r="T138" s="60">
        <v>360</v>
      </c>
      <c r="U138" s="60">
        <v>261</v>
      </c>
      <c r="Z138" s="60">
        <v>3892</v>
      </c>
    </row>
    <row r="139" spans="2:36" s="60" customFormat="1" ht="15.9" thickBot="1">
      <c r="B139" s="109" t="s">
        <v>67</v>
      </c>
      <c r="C139" s="211">
        <f>IF(C$14="70V",MIN($K$71,C$71),IF(C$14="100V",MIN($K$70,C$70),IF(C$14="Unused","Unused",IF(C$14="Lo-Z",MIN(20*LOG10(MAX($O9,$O30)/C40),20*LOG10(1/MAX(C$57/$O11,C$58/$O10)),10*LOG10($O8/C$56),$L$35,C$118,IF(C137&lt;-0.01,C137,32),IF(C138&lt;-0.01,C138,32)),MIN(20*LOG10(1/(C$58/$O10)),10*LOG10($O8/C$56),$L$35,IF(C137&lt;-0.01,C137,32),IF(C138&lt;-0.01,C138,32))))))</f>
        <v>9.7197127504258631</v>
      </c>
      <c r="D139" s="211">
        <f>IF(D$14="70V",MIN($K$71,D$71),IF(D$14="100V",MIN($K$70,D$70),IF(D$14="Unused","Unused",IF(D$14="Lo-Z",MIN(20*LOG10(MAX($O9,$O30)/D40),20*LOG10(1/MAX(D$57/$O11,D$58/$O10)),10*LOG10($O8/D$56),$L$35,D$118,IF(D137&lt;-0.01,D137,32),IF(D138&lt;-0.01,D138,32)),MIN(20*LOG10(1/(D$58/$O10)),10*LOG10($O8/D$56),$L$35,IF(D137&lt;-0.01,D137,32),IF(D138&lt;-0.01,D138,32))))))</f>
        <v>9.7197127504258631</v>
      </c>
      <c r="E139" s="211">
        <f>IF(E$14="70V",MIN($K$71,E$71),IF(E$14="100V",MIN($K$70,E$70),IF(E$14="Unused","Unused",IF(E$14="Lo-Z",MIN(20*LOG10(MAX($O9,$O30)/E40),20*LOG10(1/MAX(E$57/$O11,E$58/$O10)),10*LOG10($O8/E$56),$L$35,E$118,IF(E137&lt;-0.01,E137,32),IF(E138&lt;-0.01,E138,32)),MIN(20*LOG10(1/(E$58/$O10)),10*LOG10($O8/E$56),$L$35,IF(E137&lt;-0.01,E137,32),IF(E138&lt;-0.01,E138,32))))))</f>
        <v>9.7197127504258631</v>
      </c>
      <c r="F139" s="211">
        <f>IF(F$14="70V",MIN($K$71,F$71),IF(F$14="100V",MIN($K$70,F$70),IF(F$14="Unused","Unused",IF(F$14="Lo-Z",MIN(20*LOG10(MAX($O9,$O30)/F40),20*LOG10(1/MAX(F$57/$O11,F$58/$O10)),10*LOG10($O8/F$56),$L$35,F$118,IF(F137&lt;-0.01,F137,32),IF(F138&lt;-0.01,F138,32)),MIN(20*LOG10(1/(F$58/$O10)),10*LOG10($O8/F$56),$L$35,IF(F137&lt;-0.01,F137,32),IF(F138&lt;-0.01,F138,32))))))</f>
        <v>9.7197127504258631</v>
      </c>
      <c r="G139" s="211" t="str">
        <f>IF(G$14="Unused","Unused",IF(G$14="Lo-Z",MIN(20*LOG10(MAX($O9,$O30)/G40),20*LOG10(1/MAX(G$57/$O11,G$58/$O10)),10*LOG10($O8/G$56),$L$35,G$118,IF(G137&lt;-0.01,G137,32),IF(G138&lt;-0.01,G138,32)),MIN(20*LOG10(1/(G$58/$O10)),10*LOG10($O8/G$56),$L$35,IF(G137&lt;-0.01,G137,32),IF(G138&lt;-0.01,G138,32))))</f>
        <v>Unused</v>
      </c>
      <c r="H139" s="211" t="str">
        <f>IF(H$14="Unused","Unused",IF(H$14="Lo-Z",MIN(20*LOG10(MAX($O9,$O30)/H40),20*LOG10(1/MAX(H$57/$O11,H$58/$O10)),10*LOG10($O8/H$56),$L$35,H$118,IF(H137&lt;-0.01,H137,32),IF(H138&lt;-0.01,H138,32)),MIN(20*LOG10(1/(H$58/$O10)),10*LOG10($O8/H$56),$L$35,IF(H137&lt;-0.01,H137,32),IF(H138&lt;-0.01,H138,32))))</f>
        <v>Unused</v>
      </c>
      <c r="I139" s="211" t="str">
        <f>IF(I$14="Unused","Unused",IF(I$14="Lo-Z",MIN(20*LOG10(MAX($O9,$O30)/I40),20*LOG10(1/MAX(I$57/$O11,I$58/$O10)),10*LOG10($O8/I$56),$L$35,I$118,IF(I137&lt;-0.01,I137,32),IF(I138&lt;-0.01,I138,32)),MIN(20*LOG10(1/(I$58/$O10)),10*LOG10($O8/I$56),$L$35,IF(I137&lt;-0.01,I137,32),IF(I138&lt;-0.01,I138,32))))</f>
        <v>Unused</v>
      </c>
      <c r="J139" s="313" t="str">
        <f>IF(J$14="Unused","Unused",IF(J$14="Lo-Z",MIN(20*LOG10(MAX($O9,$O30)/J40),20*LOG10(1/MAX(J$57/$O11,J$58/$O10)),10*LOG10($O8/J$56),$L$35,J$118,IF(J137&lt;-0.01,J137,32),IF(J138&lt;-0.01,J138,32)),MIN(20*LOG10(1/(J$58/$O10)),10*LOG10($O8/J$56),$L$35,IF(J137&lt;-0.01,J137,32),IF(J138&lt;-0.01,J138,32))))</f>
        <v>Unused</v>
      </c>
      <c r="K139" s="66"/>
      <c r="L139" s="128">
        <f>MIN(C139:F139,L130,L132,L56,L61)</f>
        <v>9.7197127504258631</v>
      </c>
      <c r="M139" s="339" t="s">
        <v>282</v>
      </c>
      <c r="AJ139" s="351" t="str">
        <f>IF(AH137&gt;3,CONCATENATE("The capacity to sustain the crest factor is challenged. While individual beats ",IF(AH138&gt;-0.01,"can ","may "),"reach the desired peak level, there is an obvious risk that the SPL of the beats will vary over time."),"")</f>
        <v/>
      </c>
    </row>
    <row r="140" spans="2:36" s="60" customFormat="1" ht="18" hidden="1" customHeight="1">
      <c r="B140" s="59" t="s">
        <v>159</v>
      </c>
      <c r="K140" s="212">
        <f>K133-K135</f>
        <v>36.866166955975565</v>
      </c>
      <c r="L140" s="66"/>
      <c r="M140" s="319"/>
      <c r="N140" s="60" t="s">
        <v>160</v>
      </c>
      <c r="Q140" s="68">
        <v>1425</v>
      </c>
      <c r="R140" s="68"/>
      <c r="S140" s="68">
        <v>2075</v>
      </c>
      <c r="T140" s="68"/>
      <c r="U140" s="68"/>
      <c r="V140" s="68"/>
      <c r="W140" s="68"/>
      <c r="X140" s="68"/>
      <c r="Y140" s="68"/>
      <c r="Z140" s="68">
        <f>1/3.412142*Z132+Z135</f>
        <v>4340.6324824699559</v>
      </c>
      <c r="AJ140" s="351"/>
    </row>
    <row r="141" spans="2:36" s="60" customFormat="1" ht="18" hidden="1" customHeight="1" thickBot="1">
      <c r="B141" s="109" t="s">
        <v>158</v>
      </c>
      <c r="C141" s="213"/>
      <c r="D141" s="213"/>
      <c r="E141" s="213"/>
      <c r="F141" s="213"/>
      <c r="G141" s="213"/>
      <c r="H141" s="213"/>
      <c r="I141" s="213"/>
      <c r="J141" s="213"/>
      <c r="K141" s="214">
        <f>3.412*K140</f>
        <v>125.78736165378862</v>
      </c>
      <c r="L141" s="215"/>
      <c r="M141" s="268"/>
      <c r="N141" s="60" t="s">
        <v>161</v>
      </c>
      <c r="Q141" s="216">
        <f>Q135/(Q140-Q56)</f>
        <v>0.70175438596491224</v>
      </c>
      <c r="R141" s="216" t="e">
        <f t="shared" ref="R141:Y141" si="69">R135/(R140-R56)</f>
        <v>#DIV/0!</v>
      </c>
      <c r="S141" s="216">
        <f t="shared" si="69"/>
        <v>0.72289156626506024</v>
      </c>
      <c r="T141" s="216" t="e">
        <f t="shared" si="69"/>
        <v>#DIV/0!</v>
      </c>
      <c r="U141" s="216" t="e">
        <f t="shared" si="69"/>
        <v>#DIV/0!</v>
      </c>
      <c r="V141" s="216" t="e">
        <f t="shared" si="69"/>
        <v>#DIV/0!</v>
      </c>
      <c r="W141" s="216" t="e">
        <f t="shared" si="69"/>
        <v>#DIV/0!</v>
      </c>
      <c r="X141" s="216" t="e">
        <f t="shared" si="69"/>
        <v>#DIV/0!</v>
      </c>
      <c r="Y141" s="216" t="e">
        <f t="shared" si="69"/>
        <v>#DIV/0!</v>
      </c>
      <c r="Z141" s="60">
        <f>Z135/(Z140-Z56)</f>
        <v>0.73721975148172414</v>
      </c>
    </row>
    <row r="142" spans="2:36" s="1" customFormat="1" hidden="1">
      <c r="K142" s="177"/>
      <c r="L142" s="177"/>
      <c r="M142" s="269"/>
    </row>
    <row r="143" spans="2:36" s="1" customFormat="1" ht="15" hidden="1" customHeight="1">
      <c r="B143" s="1" t="s">
        <v>162</v>
      </c>
      <c r="K143" s="217">
        <f>K132*C10</f>
        <v>51.450554989064223</v>
      </c>
      <c r="L143" s="177"/>
      <c r="M143" s="269"/>
    </row>
    <row r="144" spans="2:36" s="1" customFormat="1" ht="16" hidden="1" customHeight="1" thickBot="1">
      <c r="K144" s="218">
        <f>K133/K143</f>
        <v>0.82</v>
      </c>
      <c r="L144" s="177"/>
      <c r="M144" s="269"/>
    </row>
    <row r="145" spans="2:32" s="60" customFormat="1" ht="16" hidden="1" customHeight="1">
      <c r="B145" s="117" t="s">
        <v>163</v>
      </c>
      <c r="C145" s="219"/>
      <c r="D145" s="219"/>
      <c r="E145" s="219"/>
      <c r="F145" s="220"/>
      <c r="G145" s="219"/>
      <c r="H145" s="219"/>
      <c r="I145" s="219"/>
      <c r="J145" s="220"/>
      <c r="K145" s="130"/>
      <c r="L145" s="128"/>
      <c r="M145" s="265"/>
    </row>
    <row r="146" spans="2:32" s="60" customFormat="1" ht="16" hidden="1" customHeight="1">
      <c r="B146" s="59"/>
      <c r="C146" s="130"/>
      <c r="D146" s="130"/>
      <c r="E146" s="130"/>
      <c r="F146" s="131"/>
      <c r="G146" s="130"/>
      <c r="H146" s="130"/>
      <c r="I146" s="130"/>
      <c r="J146" s="131"/>
      <c r="K146" s="130"/>
      <c r="L146" s="128"/>
      <c r="M146" s="265" t="s">
        <v>164</v>
      </c>
    </row>
    <row r="147" spans="2:32" s="60" customFormat="1" ht="16" hidden="1" customHeight="1">
      <c r="B147" s="59" t="s">
        <v>165</v>
      </c>
      <c r="C147" s="201">
        <f>IF(C$14="Lo-Z",C$40*1.05,C$40)</f>
        <v>33.6</v>
      </c>
      <c r="D147" s="201">
        <f>IF(D$14="Lo-Z",D$40*1.05,D$40)</f>
        <v>33.6</v>
      </c>
      <c r="E147" s="201">
        <f>IF(E$14="Lo-Z",E$40*1.05,E$40)</f>
        <v>33.6</v>
      </c>
      <c r="F147" s="201">
        <f>IF(F$14="Lo-Z",F$40*1.05,F$40)</f>
        <v>33.6</v>
      </c>
      <c r="G147" s="202">
        <f>IF($C14="Lo-Z",G$40*1.05,G$40)</f>
        <v>4.6957427527495585E-2</v>
      </c>
      <c r="H147" s="202">
        <f>IF($C14="Lo-Z",H$40*1.05,H$40)</f>
        <v>4.6957427527495585E-2</v>
      </c>
      <c r="I147" s="202">
        <f>IF($C14="Lo-Z",I$40*1.05,I$40)</f>
        <v>4.6957427527495585E-2</v>
      </c>
      <c r="J147" s="221">
        <f>IF($C14="Lo-Z",J$40*1.05,J$40)</f>
        <v>4.6957427527495585E-2</v>
      </c>
      <c r="K147" s="130"/>
      <c r="L147" s="128"/>
      <c r="M147" s="265"/>
    </row>
    <row r="148" spans="2:32" s="60" customFormat="1" ht="16" hidden="1" customHeight="1">
      <c r="B148" s="222"/>
      <c r="C148" s="223"/>
      <c r="D148" s="223"/>
      <c r="E148" s="223"/>
      <c r="F148" s="223"/>
      <c r="G148" s="223"/>
      <c r="H148" s="223"/>
      <c r="I148" s="223"/>
      <c r="J148" s="224"/>
      <c r="K148" s="130"/>
      <c r="L148" s="128"/>
      <c r="M148" s="265"/>
    </row>
    <row r="149" spans="2:32" s="60" customFormat="1" ht="16" hidden="1" customHeight="1">
      <c r="B149" s="59" t="s">
        <v>122</v>
      </c>
      <c r="C149" s="201">
        <f t="shared" ref="C149:J149" si="70">C$40*0.8</f>
        <v>25.6</v>
      </c>
      <c r="D149" s="201">
        <f t="shared" si="70"/>
        <v>25.6</v>
      </c>
      <c r="E149" s="201">
        <f t="shared" si="70"/>
        <v>25.6</v>
      </c>
      <c r="F149" s="201">
        <f t="shared" si="70"/>
        <v>25.6</v>
      </c>
      <c r="G149" s="202">
        <f t="shared" si="70"/>
        <v>3.5777087639996638E-2</v>
      </c>
      <c r="H149" s="202">
        <f t="shared" si="70"/>
        <v>3.5777087639996638E-2</v>
      </c>
      <c r="I149" s="202">
        <f t="shared" si="70"/>
        <v>3.5777087639996638E-2</v>
      </c>
      <c r="J149" s="221">
        <f t="shared" si="70"/>
        <v>3.5777087639996638E-2</v>
      </c>
      <c r="K149" s="135"/>
      <c r="M149" s="266" t="str">
        <f>IF(K180&lt;-0.01,"A peak limiter setting above this level may lead to undesireable artefacts in percussive sounds","")</f>
        <v/>
      </c>
      <c r="AF149" s="130">
        <f>IF(C$66&lt;1,0,C73)+IF(D$66&lt;1,0,D73)+IF(E$66&lt;1,0,E73)+IF(F$66&lt;1,0,F73)</f>
        <v>0</v>
      </c>
    </row>
    <row r="150" spans="2:32" s="60" customFormat="1" ht="16" hidden="1" customHeight="1">
      <c r="B150" s="59" t="s">
        <v>166</v>
      </c>
      <c r="C150" s="135" t="str">
        <f>VLOOKUP(C$30,$AB33:$AF40,2,FALSE)</f>
        <v>2 - 8 ms</v>
      </c>
      <c r="D150" s="135" t="str">
        <f>VLOOKUP(D$30,$AB33:$AF40,2,FALSE)</f>
        <v>2 - 8 ms</v>
      </c>
      <c r="E150" s="135" t="str">
        <f>VLOOKUP(E$30,$AB33:$AF40,2,FALSE)</f>
        <v>2 - 8 ms</v>
      </c>
      <c r="F150" s="135" t="str">
        <f>VLOOKUP(F$30,$AB33:$AF40,2,FALSE)</f>
        <v>2 - 8 ms</v>
      </c>
      <c r="G150" s="135" t="str">
        <f>VLOOKUP($C30,$AB33:$AF40,2,FALSE)</f>
        <v>2 - 8 ms</v>
      </c>
      <c r="H150" s="135" t="str">
        <f>VLOOKUP($C30,$AB33:$AF40,2,FALSE)</f>
        <v>2 - 8 ms</v>
      </c>
      <c r="I150" s="135" t="str">
        <f>VLOOKUP($C30,$AB33:$AF40,2,FALSE)</f>
        <v>2 - 8 ms</v>
      </c>
      <c r="J150" s="136" t="str">
        <f>VLOOKUP($C30,$AB33:$AF40,2,FALSE)</f>
        <v>2 - 8 ms</v>
      </c>
      <c r="K150" s="135"/>
      <c r="M150" s="266"/>
      <c r="AF150" s="130"/>
    </row>
    <row r="151" spans="2:32" s="60" customFormat="1" ht="16" hidden="1" customHeight="1">
      <c r="B151" s="59" t="s">
        <v>167</v>
      </c>
      <c r="C151" s="135" t="str">
        <f>VLOOKUP(C$30,$AB33:$AF40,3,FALSE)</f>
        <v>16 - 64 ms</v>
      </c>
      <c r="D151" s="135" t="str">
        <f>VLOOKUP(D$30,$AB33:$AF40,3,FALSE)</f>
        <v>16 - 64 ms</v>
      </c>
      <c r="E151" s="135" t="str">
        <f>VLOOKUP(E$30,$AB33:$AF40,3,FALSE)</f>
        <v>16 - 64 ms</v>
      </c>
      <c r="F151" s="135" t="str">
        <f>VLOOKUP(F$30,$AB33:$AF40,3,FALSE)</f>
        <v>16 - 64 ms</v>
      </c>
      <c r="G151" s="135" t="str">
        <f>VLOOKUP($C30,$AB33:$AF40,3,FALSE)</f>
        <v>16 - 64 ms</v>
      </c>
      <c r="H151" s="135" t="str">
        <f>VLOOKUP($C30,$AB33:$AF40,3,FALSE)</f>
        <v>16 - 64 ms</v>
      </c>
      <c r="I151" s="135" t="str">
        <f>VLOOKUP($C30,$AB33:$AF40,3,FALSE)</f>
        <v>16 - 64 ms</v>
      </c>
      <c r="J151" s="136" t="str">
        <f>VLOOKUP($C30,$AB33:$AF40,3,FALSE)</f>
        <v>16 - 64 ms</v>
      </c>
      <c r="K151" s="135"/>
      <c r="M151" s="266"/>
      <c r="AF151" s="130"/>
    </row>
    <row r="152" spans="2:32" s="60" customFormat="1" ht="16" hidden="1" customHeight="1">
      <c r="B152" s="222"/>
      <c r="C152" s="223"/>
      <c r="D152" s="223"/>
      <c r="E152" s="223"/>
      <c r="F152" s="223"/>
      <c r="G152" s="223"/>
      <c r="H152" s="223"/>
      <c r="I152" s="223"/>
      <c r="J152" s="224"/>
      <c r="K152" s="135"/>
      <c r="M152" s="266"/>
      <c r="AF152" s="130"/>
    </row>
    <row r="153" spans="2:32" s="1" customFormat="1" ht="15.6" hidden="1">
      <c r="B153" s="59" t="s">
        <v>123</v>
      </c>
      <c r="C153" s="201">
        <f>SQRT(C$35/2*C$42)*VLOOKUP(C$30,$AB22:$AF27,5,FALSE)</f>
        <v>9.6</v>
      </c>
      <c r="D153" s="201">
        <f>SQRT(D$35/2*D$42)*VLOOKUP(D$30,$AB22:$AF27,5,FALSE)</f>
        <v>9.6</v>
      </c>
      <c r="E153" s="201">
        <f>SQRT(E$35/2*E$42)*VLOOKUP(E$30,$AB22:$AF27,5,FALSE)</f>
        <v>9.6</v>
      </c>
      <c r="F153" s="201">
        <f>SQRT(F$35/2*F$42)*VLOOKUP(F$30,$AB22:$AF27,5,FALSE)</f>
        <v>9.6</v>
      </c>
      <c r="G153" s="202">
        <f>SQRT(G$35/2*G$42)*VLOOKUP($C30,$AB22:$AF27,5,FALSE)</f>
        <v>1.3416407864998738E-2</v>
      </c>
      <c r="H153" s="202">
        <f>SQRT(H$35/2*H$42)*VLOOKUP($C30,$AB22:$AF27,5,FALSE)</f>
        <v>1.3416407864998738E-2</v>
      </c>
      <c r="I153" s="202">
        <f>SQRT(I$35/2*I$42)*VLOOKUP($C30,$AB22:$AF27,5,FALSE)</f>
        <v>1.3416407864998738E-2</v>
      </c>
      <c r="J153" s="221">
        <f>SQRT(J$35/2*J$42)*VLOOKUP($C30,$AB22:$AF27,5,FALSE)</f>
        <v>1.3416407864998738E-2</v>
      </c>
      <c r="K153" s="177"/>
      <c r="L153" s="177"/>
      <c r="M153" s="266" t="str">
        <f>IF(K181&lt;-0.01,"An rms limiter setting above this level may lead to undesireable pumping effects","")</f>
        <v/>
      </c>
    </row>
    <row r="154" spans="2:32" s="60" customFormat="1" ht="16" hidden="1" customHeight="1">
      <c r="B154" s="225" t="s">
        <v>124</v>
      </c>
      <c r="C154" s="128" t="e">
        <f t="shared" ref="C154:J154" si="71">-INDEX($AM$12:$AM$29,MATCH(C$30,$AK$12:$AK$29,0),1)</f>
        <v>#N/A</v>
      </c>
      <c r="D154" s="128" t="e">
        <f t="shared" si="71"/>
        <v>#N/A</v>
      </c>
      <c r="E154" s="128" t="e">
        <f t="shared" si="71"/>
        <v>#N/A</v>
      </c>
      <c r="F154" s="128" t="e">
        <f t="shared" si="71"/>
        <v>#N/A</v>
      </c>
      <c r="G154" s="128" t="e">
        <f t="shared" si="71"/>
        <v>#N/A</v>
      </c>
      <c r="H154" s="128" t="e">
        <f t="shared" si="71"/>
        <v>#N/A</v>
      </c>
      <c r="I154" s="128" t="e">
        <f t="shared" si="71"/>
        <v>#N/A</v>
      </c>
      <c r="J154" s="160" t="e">
        <f t="shared" si="71"/>
        <v>#N/A</v>
      </c>
      <c r="K154" s="189"/>
      <c r="M154" s="266"/>
      <c r="AF154" s="130"/>
    </row>
    <row r="155" spans="2:32" s="60" customFormat="1" ht="31.2" hidden="1">
      <c r="B155" s="226" t="s">
        <v>125</v>
      </c>
      <c r="C155" s="128" t="e">
        <f>C69+C154</f>
        <v>#VALUE!</v>
      </c>
      <c r="D155" s="128" t="e">
        <f t="shared" ref="D155:J155" si="72">D69+D154</f>
        <v>#VALUE!</v>
      </c>
      <c r="E155" s="128" t="e">
        <f t="shared" si="72"/>
        <v>#VALUE!</v>
      </c>
      <c r="F155" s="128" t="e">
        <f t="shared" si="72"/>
        <v>#VALUE!</v>
      </c>
      <c r="G155" s="128" t="e">
        <f t="shared" si="72"/>
        <v>#N/A</v>
      </c>
      <c r="H155" s="128" t="e">
        <f t="shared" si="72"/>
        <v>#N/A</v>
      </c>
      <c r="I155" s="128" t="e">
        <f t="shared" si="72"/>
        <v>#N/A</v>
      </c>
      <c r="J155" s="160" t="e">
        <f t="shared" si="72"/>
        <v>#N/A</v>
      </c>
      <c r="K155" s="189"/>
      <c r="M155" s="266"/>
      <c r="AF155" s="130"/>
    </row>
    <row r="156" spans="2:32" s="60" customFormat="1" ht="16" hidden="1" customHeight="1">
      <c r="B156" s="187" t="s">
        <v>126</v>
      </c>
      <c r="C156" s="197">
        <f t="shared" ref="C156:J156" si="73">C95*C$66</f>
        <v>0</v>
      </c>
      <c r="D156" s="197">
        <f t="shared" si="73"/>
        <v>0</v>
      </c>
      <c r="E156" s="197">
        <f t="shared" si="73"/>
        <v>0</v>
      </c>
      <c r="F156" s="197">
        <f t="shared" si="73"/>
        <v>0</v>
      </c>
      <c r="G156" s="197">
        <f t="shared" si="73"/>
        <v>0</v>
      </c>
      <c r="H156" s="197">
        <f t="shared" si="73"/>
        <v>0</v>
      </c>
      <c r="I156" s="197">
        <f t="shared" si="73"/>
        <v>0</v>
      </c>
      <c r="J156" s="227">
        <f t="shared" si="73"/>
        <v>0</v>
      </c>
      <c r="K156" s="66"/>
      <c r="L156" s="196" t="e">
        <f>(MIN(M149,AF156)+AF176)/AF176</f>
        <v>#DIV/0!</v>
      </c>
      <c r="M156" s="267"/>
      <c r="AF156" s="168">
        <f>AF149-AF176</f>
        <v>0</v>
      </c>
    </row>
    <row r="157" spans="2:32" s="60" customFormat="1" ht="16" hidden="1" customHeight="1">
      <c r="B157" s="59" t="s">
        <v>166</v>
      </c>
      <c r="C157" s="197" t="str">
        <f>VLOOKUP(C$30,$AB33:$AF40,4,FALSE)</f>
        <v>0,3 - 0,8 sec</v>
      </c>
      <c r="D157" s="197" t="str">
        <f>VLOOKUP(D$30,$AB33:$AF40,4,FALSE)</f>
        <v>0,3 - 0,8 sec</v>
      </c>
      <c r="E157" s="197" t="str">
        <f>VLOOKUP(E$30,$AB33:$AF40,4,FALSE)</f>
        <v>0,3 - 0,8 sec</v>
      </c>
      <c r="F157" s="197" t="str">
        <f>VLOOKUP(F$30,$AB33:$AF40,4,FALSE)</f>
        <v>0,3 - 0,8 sec</v>
      </c>
      <c r="G157" s="197" t="str">
        <f>VLOOKUP($C30,$AB33:$AF40,4,FALSE)</f>
        <v>0,3 - 0,8 sec</v>
      </c>
      <c r="H157" s="197" t="str">
        <f>VLOOKUP($C30,$AB33:$AF40,4,FALSE)</f>
        <v>0,3 - 0,8 sec</v>
      </c>
      <c r="I157" s="197" t="str">
        <f>VLOOKUP($C30,$AB33:$AF40,4,FALSE)</f>
        <v>0,3 - 0,8 sec</v>
      </c>
      <c r="J157" s="227" t="str">
        <f>VLOOKUP($C30,$AB33:$AF40,4,FALSE)</f>
        <v>0,3 - 0,8 sec</v>
      </c>
      <c r="K157" s="66"/>
      <c r="L157" s="196"/>
      <c r="M157" s="267"/>
      <c r="AF157" s="168"/>
    </row>
    <row r="158" spans="2:32" s="60" customFormat="1" ht="16" hidden="1" customHeight="1" thickBot="1">
      <c r="B158" s="109" t="s">
        <v>167</v>
      </c>
      <c r="C158" s="228" t="str">
        <f>VLOOKUP(C$30,$AB33:$AF40,5,FALSE)</f>
        <v>0,5 - 2 sec</v>
      </c>
      <c r="D158" s="228" t="str">
        <f>VLOOKUP(D$30,$AB33:$AF40,5,FALSE)</f>
        <v>0,5 - 2 sec</v>
      </c>
      <c r="E158" s="228" t="str">
        <f>VLOOKUP(E$30,$AB33:$AF40,5,FALSE)</f>
        <v>0,5 - 2 sec</v>
      </c>
      <c r="F158" s="228" t="str">
        <f>VLOOKUP(F$30,$AB33:$AF40,5,FALSE)</f>
        <v>0,5 - 2 sec</v>
      </c>
      <c r="G158" s="228" t="str">
        <f>VLOOKUP($C30,$AB33:$AF40,5,FALSE)</f>
        <v>0,5 - 2 sec</v>
      </c>
      <c r="H158" s="228" t="str">
        <f>VLOOKUP($C30,$AB33:$AF40,5,FALSE)</f>
        <v>0,5 - 2 sec</v>
      </c>
      <c r="I158" s="228" t="str">
        <f>VLOOKUP($C30,$AB33:$AF40,5,FALSE)</f>
        <v>0,5 - 2 sec</v>
      </c>
      <c r="J158" s="229" t="str">
        <f>VLOOKUP($C30,$AB33:$AF40,5,FALSE)</f>
        <v>0,5 - 2 sec</v>
      </c>
      <c r="K158" s="66"/>
      <c r="L158" s="196"/>
      <c r="M158" s="270"/>
      <c r="AF158" s="168"/>
    </row>
    <row r="159" spans="2:32" s="60" customFormat="1" ht="16" hidden="1" customHeight="1" thickBot="1">
      <c r="C159" s="197"/>
      <c r="D159" s="197"/>
      <c r="E159" s="197"/>
      <c r="F159" s="197"/>
      <c r="G159" s="197"/>
      <c r="H159" s="197"/>
      <c r="I159" s="197"/>
      <c r="J159" s="197"/>
      <c r="K159" s="66"/>
      <c r="L159" s="196"/>
      <c r="M159" s="230"/>
      <c r="AF159" s="168"/>
    </row>
    <row r="160" spans="2:32" s="60" customFormat="1" ht="18" hidden="1" customHeight="1">
      <c r="B160" s="117" t="s">
        <v>168</v>
      </c>
      <c r="C160" s="282"/>
      <c r="D160" s="282"/>
      <c r="E160" s="282"/>
      <c r="F160" s="283"/>
      <c r="G160" s="198"/>
      <c r="H160" s="198"/>
      <c r="I160" s="198"/>
      <c r="J160" s="198"/>
      <c r="L160" s="231"/>
      <c r="M160" s="232"/>
      <c r="AF160" s="168"/>
    </row>
    <row r="161" spans="2:13" s="1" customFormat="1" ht="15.6" hidden="1">
      <c r="B161" s="271" t="s">
        <v>169</v>
      </c>
      <c r="C161" s="284">
        <f>VLOOKUP(C$13,Data!$D$22:$S$71,11,0)</f>
        <v>32</v>
      </c>
      <c r="D161" s="284">
        <f>VLOOKUP(D$13,Data!$D$22:$S$71,11,0)</f>
        <v>32</v>
      </c>
      <c r="E161" s="284">
        <f>VLOOKUP(E$13,Data!$D$22:$S$71,11,0)</f>
        <v>32</v>
      </c>
      <c r="F161" s="285">
        <f>VLOOKUP(F$13,Data!$D$22:$S$71,11,0)</f>
        <v>32</v>
      </c>
      <c r="K161" s="177"/>
      <c r="L161" s="177"/>
    </row>
    <row r="162" spans="2:13" s="1" customFormat="1" ht="15.6" hidden="1">
      <c r="B162" s="272" t="s">
        <v>166</v>
      </c>
      <c r="C162" s="286">
        <f>VLOOKUP(C$13,Data!$D$22:$S$71,12,0)</f>
        <v>1.5</v>
      </c>
      <c r="D162" s="286">
        <f>VLOOKUP(D$13,Data!$D$22:$S$71,12,0)</f>
        <v>1.5</v>
      </c>
      <c r="E162" s="286">
        <f>VLOOKUP(E$13,Data!$D$22:$S$71,12,0)</f>
        <v>1.5</v>
      </c>
      <c r="F162" s="287">
        <f>VLOOKUP(F$13,Data!$D$22:$S$71,12,0)</f>
        <v>1.5</v>
      </c>
      <c r="K162" s="177"/>
      <c r="L162" s="177"/>
    </row>
    <row r="163" spans="2:13" s="1" customFormat="1" ht="15.6" hidden="1">
      <c r="B163" s="272" t="s">
        <v>167</v>
      </c>
      <c r="C163" s="288">
        <f>VLOOKUP(C$13,Data!$D$22:$S$71,13,0)</f>
        <v>100</v>
      </c>
      <c r="D163" s="288">
        <f>VLOOKUP(D$13,Data!$D$22:$S$71,13,0)</f>
        <v>100</v>
      </c>
      <c r="E163" s="288">
        <f>VLOOKUP(E$13,Data!$D$22:$S$71,13,0)</f>
        <v>100</v>
      </c>
      <c r="F163" s="289">
        <f>VLOOKUP(F$13,Data!$D$22:$S$71,13,0)</f>
        <v>100</v>
      </c>
      <c r="K163" s="177"/>
      <c r="L163" s="177"/>
    </row>
    <row r="164" spans="2:13" s="1" customFormat="1" ht="15.6" hidden="1">
      <c r="B164" s="272" t="s">
        <v>170</v>
      </c>
      <c r="C164" s="284">
        <f>VLOOKUP(C$13,Data!$D$22:$S$71,14,0)</f>
        <v>16</v>
      </c>
      <c r="D164" s="284">
        <f>VLOOKUP(D$13,Data!$D$22:$S$71,14,0)</f>
        <v>16</v>
      </c>
      <c r="E164" s="284">
        <f>VLOOKUP(E$13,Data!$D$22:$S$71,14,0)</f>
        <v>16</v>
      </c>
      <c r="F164" s="285">
        <f>VLOOKUP(F$13,Data!$D$22:$S$71,14,0)</f>
        <v>16</v>
      </c>
      <c r="K164" s="177"/>
      <c r="L164" s="177"/>
    </row>
    <row r="165" spans="2:13" s="1" customFormat="1" ht="15.6" hidden="1">
      <c r="B165" s="272" t="s">
        <v>166</v>
      </c>
      <c r="C165" s="290">
        <f>VLOOKUP(C$13,Data!$D$22:$S$71,15,0)</f>
        <v>1</v>
      </c>
      <c r="D165" s="290">
        <f>VLOOKUP(D$13,Data!$D$22:$S$71,15,0)</f>
        <v>1</v>
      </c>
      <c r="E165" s="290">
        <f>VLOOKUP(E$13,Data!$D$22:$S$71,15,0)</f>
        <v>1</v>
      </c>
      <c r="F165" s="291">
        <f>VLOOKUP(F$13,Data!$D$22:$S$71,15,0)</f>
        <v>1</v>
      </c>
      <c r="K165" s="177"/>
      <c r="L165" s="177"/>
    </row>
    <row r="166" spans="2:13" s="1" customFormat="1" ht="15.6" hidden="1">
      <c r="B166" s="273" t="s">
        <v>167</v>
      </c>
      <c r="C166" s="292">
        <f>VLOOKUP(C$13,Data!$D$22:$S$71,16,0)</f>
        <v>2</v>
      </c>
      <c r="D166" s="292">
        <f>VLOOKUP(D$13,Data!$D$22:$S$71,16,0)</f>
        <v>2</v>
      </c>
      <c r="E166" s="292">
        <f>VLOOKUP(E$13,Data!$D$22:$S$71,16,0)</f>
        <v>2</v>
      </c>
      <c r="F166" s="293">
        <f>VLOOKUP(F$13,Data!$D$22:$S$71,16,0)</f>
        <v>2</v>
      </c>
      <c r="K166" s="177"/>
      <c r="L166" s="177"/>
    </row>
    <row r="167" spans="2:13" s="1" customFormat="1" hidden="1">
      <c r="K167" s="177"/>
      <c r="L167" s="177"/>
    </row>
    <row r="168" spans="2:13" s="1" customFormat="1" hidden="1">
      <c r="K168" s="177"/>
      <c r="L168" s="177"/>
    </row>
    <row r="169" spans="2:13" s="1" customFormat="1" hidden="1">
      <c r="K169" s="177"/>
      <c r="L169" s="177"/>
    </row>
    <row r="170" spans="2:13" s="1" customFormat="1" hidden="1">
      <c r="K170" s="177"/>
      <c r="L170" s="177"/>
    </row>
    <row r="171" spans="2:13" s="1" customFormat="1" hidden="1">
      <c r="K171" s="177"/>
      <c r="L171" s="177"/>
      <c r="M171" s="296" t="s">
        <v>257</v>
      </c>
    </row>
    <row r="172" spans="2:13" s="1" customFormat="1" hidden="1">
      <c r="K172" s="177"/>
      <c r="L172" s="177"/>
      <c r="M172" s="296" t="s">
        <v>258</v>
      </c>
    </row>
    <row r="173" spans="2:13" s="1" customFormat="1" hidden="1">
      <c r="K173" s="177"/>
      <c r="L173" s="177"/>
    </row>
    <row r="174" spans="2:13" s="1" customFormat="1" hidden="1">
      <c r="K174" s="177"/>
      <c r="L174" s="177"/>
      <c r="M174" s="296" t="s">
        <v>259</v>
      </c>
    </row>
    <row r="175" spans="2:13" s="1" customFormat="1" hidden="1">
      <c r="K175" s="177"/>
      <c r="L175" s="177"/>
      <c r="M175" s="296" t="s">
        <v>260</v>
      </c>
    </row>
    <row r="176" spans="2:13" s="1" customFormat="1" hidden="1">
      <c r="K176" s="177"/>
      <c r="L176" s="177"/>
    </row>
    <row r="177" spans="11:12" s="1" customFormat="1">
      <c r="K177" s="177"/>
      <c r="L177" s="177"/>
    </row>
    <row r="178" spans="11:12" s="1" customFormat="1">
      <c r="K178" s="177"/>
      <c r="L178" s="177"/>
    </row>
    <row r="179" spans="11:12" s="1" customFormat="1">
      <c r="K179" s="177"/>
      <c r="L179" s="177"/>
    </row>
    <row r="180" spans="11:12" s="1" customFormat="1">
      <c r="K180" s="177"/>
      <c r="L180" s="177"/>
    </row>
    <row r="181" spans="11:12" s="1" customFormat="1">
      <c r="K181" s="177"/>
      <c r="L181" s="177"/>
    </row>
    <row r="182" spans="11:12" s="1" customFormat="1">
      <c r="K182" s="177"/>
      <c r="L182" s="177"/>
    </row>
    <row r="183" spans="11:12" s="1" customFormat="1">
      <c r="K183" s="177"/>
      <c r="L183" s="177"/>
    </row>
    <row r="184" spans="11:12" s="1" customFormat="1">
      <c r="K184" s="177"/>
      <c r="L184" s="177"/>
    </row>
  </sheetData>
  <dataConsolidate/>
  <mergeCells count="10">
    <mergeCell ref="AJ139:AJ140"/>
    <mergeCell ref="AE31:AF31"/>
    <mergeCell ref="C33:J33"/>
    <mergeCell ref="C102:J102"/>
    <mergeCell ref="C9:D9"/>
    <mergeCell ref="C11:J11"/>
    <mergeCell ref="K11:L11"/>
    <mergeCell ref="K16:L16"/>
    <mergeCell ref="K30:L30"/>
    <mergeCell ref="AC31:AD31"/>
  </mergeCells>
  <phoneticPr fontId="40" type="noConversion"/>
  <conditionalFormatting sqref="C137 C120:J120">
    <cfRule type="iconSet" priority="9">
      <iconSet iconSet="3Symbols">
        <cfvo type="percent" val="0"/>
        <cfvo type="num" val="-2.9"/>
        <cfvo type="num" val="-2"/>
      </iconSet>
    </cfRule>
  </conditionalFormatting>
  <conditionalFormatting sqref="C138:J138">
    <cfRule type="iconSet" priority="4">
      <iconSet iconSet="3Symbols">
        <cfvo type="percent" val="0"/>
        <cfvo type="num" val="-2.9"/>
        <cfvo type="num" val="-2"/>
      </iconSet>
    </cfRule>
  </conditionalFormatting>
  <conditionalFormatting sqref="C139:J139">
    <cfRule type="iconSet" priority="2">
      <iconSet iconSet="3Symbols">
        <cfvo type="percent" val="0"/>
        <cfvo type="num" val="-2.9"/>
        <cfvo type="num" val="-1.5"/>
      </iconSet>
    </cfRule>
  </conditionalFormatting>
  <conditionalFormatting sqref="D137">
    <cfRule type="iconSet" priority="8">
      <iconSet iconSet="3Symbols">
        <cfvo type="percent" val="0"/>
        <cfvo type="num" val="-2.9"/>
        <cfvo type="num" val="-2"/>
      </iconSet>
    </cfRule>
  </conditionalFormatting>
  <conditionalFormatting sqref="E137:I137">
    <cfRule type="iconSet" priority="7">
      <iconSet iconSet="3Symbols">
        <cfvo type="percent" val="0"/>
        <cfvo type="num" val="-2.9"/>
        <cfvo type="num" val="-2"/>
      </iconSet>
    </cfRule>
  </conditionalFormatting>
  <conditionalFormatting sqref="J137">
    <cfRule type="iconSet" priority="6">
      <iconSet iconSet="3Symbols">
        <cfvo type="percent" val="0"/>
        <cfvo type="num" val="-2.9"/>
        <cfvo type="num" val="-2"/>
      </iconSet>
    </cfRule>
  </conditionalFormatting>
  <conditionalFormatting sqref="K137">
    <cfRule type="iconSet" priority="3">
      <iconSet iconSet="3Symbols">
        <cfvo type="percent" val="0"/>
        <cfvo type="num" val="-2.9"/>
        <cfvo type="num" val="-2"/>
      </iconSet>
    </cfRule>
  </conditionalFormatting>
  <conditionalFormatting sqref="K138">
    <cfRule type="iconSet" priority="5">
      <iconSet iconSet="3Symbols">
        <cfvo type="percent" val="0"/>
        <cfvo type="num" val="-2.9"/>
        <cfvo type="num" val="-2"/>
      </iconSet>
    </cfRule>
  </conditionalFormatting>
  <conditionalFormatting sqref="L139">
    <cfRule type="iconSet" priority="1">
      <iconSet iconSet="3Symbols">
        <cfvo type="percent" val="0"/>
        <cfvo type="num" val="-2.9"/>
        <cfvo type="num" val="-2"/>
      </iconSet>
    </cfRule>
  </conditionalFormatting>
  <dataValidations count="11">
    <dataValidation operator="greaterThanOrEqual" allowBlank="1" showErrorMessage="1" errorTitle="DATA ERROR" error="Final impedancevalue must be over 2 ohm" sqref="D42:J42" xr:uid="{9A765AA9-0E78-4729-A8C7-33265FA9C187}"/>
    <dataValidation type="list" allowBlank="1" showInputMessage="1" showErrorMessage="1" sqref="G14:J14 C15:F15" xr:uid="{5F541A81-3172-41BF-B8C5-11399068EA60}">
      <formula1>$G$2:$G$6</formula1>
    </dataValidation>
    <dataValidation type="list" allowBlank="1" showInputMessage="1" showErrorMessage="1" sqref="C10" xr:uid="{C62943AA-1B8D-480E-9404-48F66FE71F4A}">
      <formula1>$AI$3:$AI$11</formula1>
    </dataValidation>
    <dataValidation type="decimal" allowBlank="1" showErrorMessage="1" errorTitle="ERROR" error="Allowed value between 2 and 128" sqref="C28:J28" xr:uid="{5D9283BD-8427-4FAB-AAF5-10A1E6627C11}">
      <formula1>2</formula1>
      <formula2>128</formula2>
    </dataValidation>
    <dataValidation type="decimal" operator="greaterThanOrEqual" allowBlank="1" showErrorMessage="1" errorTitle="DATA ERROR" error="Final impedancevalue must be over 2 ohm" sqref="C42" xr:uid="{70B7F3BE-AB2C-4A68-8077-B99D77A28AAF}">
      <formula1>2</formula1>
    </dataValidation>
    <dataValidation type="list" allowBlank="1" showInputMessage="1" showErrorMessage="1" sqref="C30:F30" xr:uid="{9475D612-AE5F-45E3-B547-F0438B6B794D}">
      <formula1>$AB$22:$AB$26</formula1>
    </dataValidation>
    <dataValidation type="list" allowBlank="1" showInputMessage="1" showErrorMessage="1" sqref="C9" xr:uid="{411EC860-497F-4CEF-B58A-A86E664E9085}">
      <formula1>$P$2:$Z$2</formula1>
    </dataValidation>
    <dataValidation operator="lessThan" allowBlank="1" showInputMessage="1" showErrorMessage="1" sqref="C32" xr:uid="{4C88D2F1-E14D-4A0F-BCCA-C7CFA5A73690}"/>
    <dataValidation type="list" allowBlank="1" showInputMessage="1" showErrorMessage="1" sqref="C14:F14" xr:uid="{8E3ECC86-67EF-413F-A652-C74AC0E54012}">
      <formula1>$G$2:$G$5</formula1>
    </dataValidation>
    <dataValidation type="list" allowBlank="1" showInputMessage="1" showErrorMessage="1" sqref="G30:J30" xr:uid="{EE4EDF40-71C4-4AFB-BFF8-442BE5870E50}">
      <formula1>$AB$22:$AB$30</formula1>
    </dataValidation>
    <dataValidation type="whole" allowBlank="1" showInputMessage="1" showErrorMessage="1" sqref="C16:F16" xr:uid="{6C5AE203-F2A2-4D60-AB2E-6AFCBFDE1078}">
      <formula1>1</formula1>
      <formula2>200</formula2>
    </dataValidation>
  </dataValidations>
  <pageMargins left="0.7" right="0.7" top="0.75" bottom="0.75" header="0.3" footer="0.3"/>
  <pageSetup orientation="portrait" r:id="rId1"/>
  <ignoredErrors>
    <ignoredError sqref="C17:F17 C31:F31"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6D9DF49-CD2C-4B3F-8905-EBD4B8B5CE70}">
          <x14:formula1>
            <xm:f>Data!$D$22:$D$68</xm:f>
          </x14:formula1>
          <xm:sqref>C14 D14 E14 F14</xm:sqref>
        </x14:dataValidation>
        <x14:dataValidation type="list" allowBlank="1" showInputMessage="1" showErrorMessage="1" xr:uid="{B5EB93D1-148E-4956-8133-D2399637361D}">
          <x14:formula1>
            <xm:f>_xlfn.TAKE(_xlfn.XLOOKUP(C13,Data!$D$22:$D$68,Data!$G$22:$L$68),1,COUNTIF(_xlfn.XLOOKUP(C13,Data!$D$22:$D$68,Data!$G$22:$L$68),"&gt;0"))</xm:f>
          </x14:formula1>
          <xm:sqref>C18:F18</xm:sqref>
        </x14:dataValidation>
        <x14:dataValidation type="list" allowBlank="1" showInputMessage="1" showErrorMessage="1" xr:uid="{6DAA38C7-5620-46D9-BC4E-977A05DFDE9B}">
          <x14:formula1>
            <xm:f>Data!$D$22:$D$71</xm:f>
          </x14:formula1>
          <xm:sqref>C13 D13 E13 F13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5B251-CED3-42DA-9500-3DEB65FE1EB1}">
  <sheetPr codeName="Sheet3"/>
  <dimension ref="A1:AB71"/>
  <sheetViews>
    <sheetView zoomScale="87" zoomScaleNormal="80" workbookViewId="0">
      <pane xSplit="4" ySplit="18" topLeftCell="E71" activePane="bottomRight" state="frozen"/>
      <selection pane="topRight" activeCell="E1" sqref="E1"/>
      <selection pane="bottomLeft" activeCell="A19" sqref="A19"/>
      <selection pane="bottomRight" activeCell="E4" sqref="E4"/>
    </sheetView>
  </sheetViews>
  <sheetFormatPr defaultRowHeight="14.4"/>
  <cols>
    <col min="1" max="1" width="11.15625" customWidth="1"/>
    <col min="2" max="2" width="18" customWidth="1"/>
    <col min="3" max="3" width="8.68359375" bestFit="1" customWidth="1"/>
    <col min="4" max="4" width="28.41796875" bestFit="1" customWidth="1"/>
    <col min="5" max="7" width="12.83984375" style="238" customWidth="1"/>
    <col min="8" max="10" width="12.83984375" customWidth="1"/>
    <col min="11" max="11" width="17.15625" customWidth="1"/>
    <col min="12" max="13" width="10.26171875" customWidth="1"/>
    <col min="14" max="14" width="16.68359375" customWidth="1"/>
    <col min="15" max="19" width="10.26171875" customWidth="1"/>
    <col min="20" max="22" width="12.83984375" customWidth="1"/>
    <col min="23" max="25" width="19.26171875" bestFit="1" customWidth="1"/>
    <col min="26" max="26" width="12.578125" customWidth="1"/>
    <col min="27" max="27" width="18.26171875" customWidth="1"/>
  </cols>
  <sheetData>
    <row r="1" spans="1:21" ht="66" customHeight="1">
      <c r="A1" s="234" t="s">
        <v>171</v>
      </c>
      <c r="C1" s="234" t="s">
        <v>172</v>
      </c>
      <c r="D1" s="234" t="s">
        <v>173</v>
      </c>
      <c r="E1" s="234"/>
      <c r="F1" s="234" t="s">
        <v>174</v>
      </c>
      <c r="G1" s="234"/>
      <c r="H1" s="234"/>
      <c r="I1" s="234"/>
      <c r="J1" s="234"/>
      <c r="K1" s="234"/>
      <c r="L1" s="236" t="s">
        <v>175</v>
      </c>
      <c r="M1" s="236"/>
      <c r="N1" s="234"/>
      <c r="O1" s="234"/>
      <c r="P1" s="234"/>
      <c r="Q1" s="234" t="s">
        <v>176</v>
      </c>
      <c r="R1" s="235" t="s">
        <v>177</v>
      </c>
      <c r="S1" s="236" t="s">
        <v>178</v>
      </c>
      <c r="T1" s="236" t="s">
        <v>179</v>
      </c>
      <c r="U1" s="236" t="s">
        <v>180</v>
      </c>
    </row>
    <row r="2" spans="1:21">
      <c r="D2" s="237" t="s">
        <v>181</v>
      </c>
      <c r="E2" s="237" t="s">
        <v>182</v>
      </c>
      <c r="F2" s="237" t="s">
        <v>183</v>
      </c>
      <c r="G2" s="237" t="s">
        <v>184</v>
      </c>
      <c r="H2" s="237" t="s">
        <v>184</v>
      </c>
      <c r="I2" s="237" t="s">
        <v>185</v>
      </c>
      <c r="J2" s="237" t="s">
        <v>22</v>
      </c>
      <c r="K2" s="237" t="s">
        <v>18</v>
      </c>
      <c r="L2" s="236"/>
      <c r="M2" s="236"/>
      <c r="N2" s="237" t="s">
        <v>185</v>
      </c>
      <c r="O2" s="237" t="s">
        <v>22</v>
      </c>
      <c r="P2" s="237" t="s">
        <v>18</v>
      </c>
      <c r="Q2" s="237" t="s">
        <v>183</v>
      </c>
      <c r="R2" s="235"/>
      <c r="S2" s="236"/>
    </row>
    <row r="3" spans="1:21">
      <c r="B3" t="s">
        <v>186</v>
      </c>
      <c r="C3">
        <v>4</v>
      </c>
      <c r="D3" s="238">
        <v>139</v>
      </c>
      <c r="E3" s="238">
        <v>45</v>
      </c>
      <c r="F3" s="238">
        <v>1500</v>
      </c>
      <c r="G3" s="238">
        <v>1200</v>
      </c>
      <c r="H3" s="238">
        <v>2600</v>
      </c>
      <c r="I3" s="238">
        <v>1300</v>
      </c>
      <c r="J3" s="238">
        <v>2100</v>
      </c>
      <c r="K3" s="238">
        <v>2200</v>
      </c>
      <c r="L3" s="238">
        <v>4800</v>
      </c>
      <c r="M3" s="238"/>
      <c r="N3" s="238">
        <v>1200</v>
      </c>
      <c r="O3" s="238">
        <v>1200</v>
      </c>
      <c r="P3" s="238">
        <v>1200</v>
      </c>
      <c r="Q3" s="238">
        <v>1800</v>
      </c>
      <c r="R3" s="238">
        <f>N3*C3</f>
        <v>4800</v>
      </c>
      <c r="S3" s="238">
        <v>0.1</v>
      </c>
      <c r="T3" s="239">
        <f>(D3^2)/4</f>
        <v>4830.25</v>
      </c>
      <c r="U3" s="238">
        <v>140</v>
      </c>
    </row>
    <row r="4" spans="1:21">
      <c r="B4" t="s">
        <v>187</v>
      </c>
      <c r="C4">
        <v>4</v>
      </c>
      <c r="D4" s="238">
        <v>100</v>
      </c>
      <c r="E4" s="238">
        <v>45</v>
      </c>
      <c r="F4" s="238">
        <v>800</v>
      </c>
      <c r="G4" s="238">
        <v>600</v>
      </c>
      <c r="H4" s="238">
        <v>1700</v>
      </c>
      <c r="I4" s="238">
        <v>1300</v>
      </c>
      <c r="J4" s="238">
        <v>1500</v>
      </c>
      <c r="K4" s="238" t="s">
        <v>302</v>
      </c>
      <c r="L4" s="238">
        <v>2400</v>
      </c>
      <c r="M4" s="238"/>
      <c r="N4" s="238">
        <v>600</v>
      </c>
      <c r="O4" s="238">
        <v>600</v>
      </c>
      <c r="P4" s="238">
        <v>600</v>
      </c>
      <c r="Q4" s="238">
        <v>1600</v>
      </c>
      <c r="R4" s="238">
        <f>N4*C4</f>
        <v>2400</v>
      </c>
      <c r="S4" s="238">
        <v>0.1</v>
      </c>
      <c r="T4" s="240">
        <f>(D4^2)/4</f>
        <v>2500</v>
      </c>
      <c r="U4" s="238">
        <v>100</v>
      </c>
    </row>
    <row r="5" spans="1:21">
      <c r="B5" t="s">
        <v>188</v>
      </c>
      <c r="C5">
        <v>4</v>
      </c>
      <c r="D5" s="238">
        <v>70</v>
      </c>
      <c r="E5" s="238">
        <v>33</v>
      </c>
      <c r="F5" s="238">
        <v>400</v>
      </c>
      <c r="G5" s="238">
        <v>300</v>
      </c>
      <c r="H5" s="238">
        <v>1100</v>
      </c>
      <c r="I5" s="238">
        <v>1100</v>
      </c>
      <c r="J5" s="238">
        <v>1100</v>
      </c>
      <c r="K5" s="238">
        <v>1100</v>
      </c>
      <c r="L5" s="238">
        <v>1200</v>
      </c>
      <c r="M5" s="238"/>
      <c r="N5" s="238">
        <v>300</v>
      </c>
      <c r="O5" s="238">
        <v>300</v>
      </c>
      <c r="P5" s="238">
        <v>300</v>
      </c>
      <c r="Q5" s="238">
        <v>1100</v>
      </c>
      <c r="R5" s="238">
        <f>N5*C5</f>
        <v>1200</v>
      </c>
      <c r="S5" s="238">
        <v>0.1</v>
      </c>
      <c r="T5" s="240">
        <f>(D5^2)/4</f>
        <v>1225</v>
      </c>
      <c r="U5" s="238">
        <v>80</v>
      </c>
    </row>
    <row r="6" spans="1:21">
      <c r="B6" t="s">
        <v>189</v>
      </c>
      <c r="C6">
        <v>4</v>
      </c>
      <c r="D6" s="241">
        <v>100</v>
      </c>
      <c r="E6" s="241" t="s">
        <v>190</v>
      </c>
      <c r="F6" s="241" t="s">
        <v>191</v>
      </c>
      <c r="G6" s="241">
        <v>150</v>
      </c>
      <c r="H6" s="241">
        <v>600</v>
      </c>
      <c r="I6" s="241">
        <v>600</v>
      </c>
      <c r="J6" s="241">
        <v>600</v>
      </c>
      <c r="K6" s="241">
        <v>600</v>
      </c>
      <c r="L6" s="241">
        <v>600</v>
      </c>
      <c r="M6" s="241"/>
      <c r="N6" s="241">
        <v>150</v>
      </c>
      <c r="O6" s="241">
        <v>150</v>
      </c>
      <c r="P6" s="241">
        <v>150</v>
      </c>
      <c r="Q6" s="241" t="s">
        <v>191</v>
      </c>
      <c r="R6" s="241">
        <f>N6*C6</f>
        <v>600</v>
      </c>
      <c r="S6" s="241"/>
      <c r="T6" s="242">
        <f>(D6^2)/4</f>
        <v>2500</v>
      </c>
      <c r="U6" s="241">
        <v>100</v>
      </c>
    </row>
    <row r="7" spans="1:21">
      <c r="B7" t="s">
        <v>192</v>
      </c>
      <c r="C7">
        <v>4</v>
      </c>
      <c r="D7" s="241">
        <v>80</v>
      </c>
      <c r="E7" s="241" t="s">
        <v>190</v>
      </c>
      <c r="F7" s="241" t="s">
        <v>191</v>
      </c>
      <c r="G7" s="241">
        <v>100</v>
      </c>
      <c r="H7" s="241">
        <v>400</v>
      </c>
      <c r="I7" s="241">
        <v>400</v>
      </c>
      <c r="J7" s="241">
        <v>400</v>
      </c>
      <c r="K7" s="241">
        <v>400</v>
      </c>
      <c r="L7" s="241">
        <v>400</v>
      </c>
      <c r="M7" s="241"/>
      <c r="N7" s="241">
        <v>100</v>
      </c>
      <c r="O7" s="241">
        <v>100</v>
      </c>
      <c r="P7" s="241">
        <v>100</v>
      </c>
      <c r="Q7" s="241" t="s">
        <v>191</v>
      </c>
      <c r="R7" s="241">
        <f>N7*C7</f>
        <v>400</v>
      </c>
      <c r="S7" s="241"/>
      <c r="T7" s="242">
        <f>(D7^2)/4</f>
        <v>1600</v>
      </c>
      <c r="U7" s="241">
        <v>80</v>
      </c>
    </row>
    <row r="9" spans="1:21">
      <c r="A9" s="243" t="s">
        <v>193</v>
      </c>
      <c r="B9" s="244" t="s">
        <v>7</v>
      </c>
      <c r="C9" s="244"/>
    </row>
    <row r="10" spans="1:21">
      <c r="A10" s="238"/>
      <c r="B10" s="244" t="s">
        <v>194</v>
      </c>
      <c r="C10" s="244"/>
    </row>
    <row r="12" spans="1:21" ht="14.5" customHeight="1">
      <c r="A12" s="236" t="s">
        <v>195</v>
      </c>
      <c r="B12" t="s">
        <v>22</v>
      </c>
    </row>
    <row r="13" spans="1:21">
      <c r="A13" s="236"/>
      <c r="B13" t="s">
        <v>18</v>
      </c>
      <c r="C13" t="s">
        <v>301</v>
      </c>
    </row>
    <row r="14" spans="1:21">
      <c r="C14">
        <v>40</v>
      </c>
    </row>
    <row r="15" spans="1:21">
      <c r="A15" s="234" t="s">
        <v>196</v>
      </c>
      <c r="B15" t="s">
        <v>197</v>
      </c>
      <c r="D15" s="245">
        <v>1</v>
      </c>
    </row>
    <row r="16" spans="1:21">
      <c r="B16" t="s">
        <v>198</v>
      </c>
      <c r="D16" s="245">
        <v>-2</v>
      </c>
    </row>
    <row r="17" spans="1:25">
      <c r="N17" t="s">
        <v>300</v>
      </c>
      <c r="W17" s="234" t="s">
        <v>293</v>
      </c>
    </row>
    <row r="18" spans="1:25" s="240" customFormat="1" ht="32.65" customHeight="1">
      <c r="A18" s="252" t="s">
        <v>199</v>
      </c>
      <c r="B18" s="252"/>
      <c r="C18" s="246"/>
      <c r="D18" s="255" t="s">
        <v>200</v>
      </c>
      <c r="E18" s="252" t="s">
        <v>201</v>
      </c>
      <c r="F18" s="252" t="s">
        <v>202</v>
      </c>
      <c r="G18" s="252" t="s">
        <v>203</v>
      </c>
      <c r="H18" s="252" t="s">
        <v>204</v>
      </c>
      <c r="I18" s="252"/>
      <c r="J18" s="252"/>
      <c r="K18" s="365" t="s">
        <v>205</v>
      </c>
      <c r="L18" s="365"/>
      <c r="M18" s="247" t="s">
        <v>42</v>
      </c>
      <c r="N18" s="247" t="s">
        <v>206</v>
      </c>
      <c r="O18" s="247" t="s">
        <v>207</v>
      </c>
      <c r="P18" s="247" t="s">
        <v>208</v>
      </c>
      <c r="Q18" s="247" t="s">
        <v>209</v>
      </c>
      <c r="R18" s="247" t="s">
        <v>210</v>
      </c>
      <c r="S18" s="247" t="s">
        <v>211</v>
      </c>
      <c r="T18" s="252" t="s">
        <v>212</v>
      </c>
      <c r="U18" s="255" t="s">
        <v>213</v>
      </c>
      <c r="V18" s="255"/>
      <c r="W18" s="252" t="s">
        <v>15</v>
      </c>
      <c r="X18" s="252" t="s">
        <v>14</v>
      </c>
      <c r="Y18" s="252" t="s">
        <v>13</v>
      </c>
    </row>
    <row r="19" spans="1:25" s="240" customFormat="1">
      <c r="A19" s="252"/>
      <c r="B19" s="252"/>
      <c r="C19" s="246"/>
      <c r="D19" s="255"/>
      <c r="E19" s="252"/>
      <c r="F19" s="252"/>
      <c r="G19" s="252"/>
      <c r="H19" s="252"/>
      <c r="I19" s="252"/>
      <c r="J19" s="252"/>
      <c r="K19" s="252"/>
      <c r="L19" s="253"/>
      <c r="M19" s="253"/>
      <c r="N19" s="253"/>
      <c r="O19" s="253"/>
      <c r="P19" s="253"/>
      <c r="Q19" s="253"/>
      <c r="R19" s="253"/>
      <c r="S19" s="253"/>
      <c r="T19" s="252"/>
      <c r="U19" s="255"/>
      <c r="V19" s="255"/>
      <c r="W19" s="252"/>
    </row>
    <row r="20" spans="1:25" s="240" customFormat="1">
      <c r="A20" s="252"/>
      <c r="B20" s="252"/>
      <c r="C20" s="246"/>
      <c r="D20" s="255"/>
      <c r="E20" s="252"/>
      <c r="F20" s="252"/>
      <c r="G20" s="252"/>
      <c r="H20" s="252"/>
      <c r="I20" s="252"/>
      <c r="J20" s="252"/>
      <c r="K20" s="252"/>
      <c r="L20" s="253"/>
      <c r="M20" s="253"/>
      <c r="N20" s="253"/>
      <c r="O20" s="253"/>
      <c r="P20" s="253"/>
      <c r="Q20" s="253"/>
      <c r="R20" s="253"/>
      <c r="S20" s="253"/>
      <c r="T20" s="252"/>
      <c r="U20" s="248" t="s">
        <v>214</v>
      </c>
      <c r="V20" s="248" t="s">
        <v>215</v>
      </c>
      <c r="W20" s="252"/>
    </row>
    <row r="21" spans="1:25" s="240" customFormat="1">
      <c r="A21" s="246"/>
      <c r="B21" s="249" t="s">
        <v>216</v>
      </c>
      <c r="C21" s="249"/>
      <c r="D21" s="250" t="s">
        <v>216</v>
      </c>
      <c r="E21" s="249">
        <v>9.9999999999999994E-12</v>
      </c>
      <c r="F21" s="249">
        <v>0</v>
      </c>
      <c r="G21" s="249">
        <v>0</v>
      </c>
      <c r="T21" s="249">
        <v>9.9999999999999994E-12</v>
      </c>
      <c r="U21" s="250">
        <v>0</v>
      </c>
      <c r="V21" s="250">
        <v>0</v>
      </c>
      <c r="W21" s="249"/>
    </row>
    <row r="22" spans="1:25" ht="18.399999999999999" customHeight="1">
      <c r="A22" s="2"/>
      <c r="B22" s="249"/>
      <c r="C22" s="251"/>
      <c r="D22" s="240" t="s">
        <v>217</v>
      </c>
      <c r="E22" s="238">
        <v>16</v>
      </c>
      <c r="F22" s="238">
        <v>16</v>
      </c>
      <c r="G22" s="238">
        <v>16</v>
      </c>
      <c r="H22" s="238">
        <v>8</v>
      </c>
      <c r="I22" s="238">
        <v>4</v>
      </c>
      <c r="J22" s="238">
        <v>2</v>
      </c>
      <c r="K22" s="241">
        <v>1</v>
      </c>
      <c r="L22" s="241"/>
      <c r="M22" s="238" t="s">
        <v>53</v>
      </c>
      <c r="N22" s="241">
        <v>32</v>
      </c>
      <c r="O22" s="241">
        <v>1.5</v>
      </c>
      <c r="P22" s="241">
        <v>100</v>
      </c>
      <c r="Q22" s="241">
        <v>16</v>
      </c>
      <c r="R22" s="241">
        <v>1</v>
      </c>
      <c r="S22" s="241">
        <v>2</v>
      </c>
      <c r="T22" s="238">
        <v>64</v>
      </c>
      <c r="U22" s="238">
        <v>10</v>
      </c>
      <c r="V22" s="238">
        <v>0.19952623149688795</v>
      </c>
      <c r="W22" s="238"/>
    </row>
    <row r="23" spans="1:25" ht="36.4" customHeight="1">
      <c r="A23" s="2"/>
      <c r="B23" s="251" t="s">
        <v>234</v>
      </c>
      <c r="C23" s="251"/>
      <c r="D23" s="240" t="s">
        <v>255</v>
      </c>
      <c r="E23" s="238">
        <v>100</v>
      </c>
      <c r="F23" s="238">
        <v>5</v>
      </c>
      <c r="G23" s="238">
        <v>200</v>
      </c>
      <c r="H23" s="238">
        <v>100</v>
      </c>
      <c r="I23" s="238">
        <v>50</v>
      </c>
      <c r="J23" s="238">
        <v>25</v>
      </c>
      <c r="M23" s="238" t="s">
        <v>53</v>
      </c>
      <c r="N23" s="241">
        <v>56</v>
      </c>
      <c r="O23" s="241">
        <v>1.5</v>
      </c>
      <c r="P23" s="241">
        <v>100</v>
      </c>
      <c r="Q23" s="241">
        <v>28</v>
      </c>
      <c r="R23" s="241">
        <v>1</v>
      </c>
      <c r="S23" s="241">
        <v>2</v>
      </c>
      <c r="T23" s="238">
        <v>200</v>
      </c>
      <c r="U23" s="238">
        <v>10</v>
      </c>
      <c r="V23" s="238">
        <v>0.19952623149688795</v>
      </c>
      <c r="W23" s="238"/>
    </row>
    <row r="24" spans="1:25" ht="36.4" customHeight="1">
      <c r="A24" s="2"/>
      <c r="B24" s="251" t="s">
        <v>234</v>
      </c>
      <c r="C24" s="251"/>
      <c r="D24" s="240" t="s">
        <v>256</v>
      </c>
      <c r="E24" s="238">
        <v>100</v>
      </c>
      <c r="F24" s="238">
        <v>6</v>
      </c>
      <c r="G24" s="238">
        <v>200</v>
      </c>
      <c r="H24" s="238">
        <v>100</v>
      </c>
      <c r="I24" s="238">
        <v>50</v>
      </c>
      <c r="J24" s="238">
        <v>25</v>
      </c>
      <c r="M24" s="238" t="s">
        <v>53</v>
      </c>
      <c r="N24" s="241">
        <v>56</v>
      </c>
      <c r="O24" s="241">
        <v>1.5</v>
      </c>
      <c r="P24" s="241">
        <v>100</v>
      </c>
      <c r="Q24" s="241">
        <v>28</v>
      </c>
      <c r="R24" s="241">
        <v>1</v>
      </c>
      <c r="S24" s="241">
        <v>2</v>
      </c>
      <c r="T24" s="238">
        <v>200</v>
      </c>
      <c r="U24" s="238">
        <v>10</v>
      </c>
      <c r="V24" s="238">
        <v>0.19952623149688795</v>
      </c>
      <c r="W24" s="238"/>
    </row>
    <row r="25" spans="1:25" ht="18.399999999999999" customHeight="1">
      <c r="A25" s="2"/>
      <c r="B25" s="251" t="s">
        <v>221</v>
      </c>
      <c r="C25" s="251"/>
      <c r="D25" s="240" t="s">
        <v>222</v>
      </c>
      <c r="E25" s="238">
        <v>40</v>
      </c>
      <c r="F25" s="238">
        <v>8</v>
      </c>
      <c r="G25" s="238">
        <v>40</v>
      </c>
      <c r="H25" s="238">
        <v>20</v>
      </c>
      <c r="I25" s="238">
        <v>10</v>
      </c>
      <c r="J25" s="238">
        <v>5</v>
      </c>
      <c r="K25" s="241">
        <v>2.5</v>
      </c>
      <c r="L25" s="241">
        <v>2.5</v>
      </c>
      <c r="M25" s="238" t="s">
        <v>53</v>
      </c>
      <c r="N25" s="241">
        <v>36</v>
      </c>
      <c r="O25" s="241">
        <v>1.5</v>
      </c>
      <c r="P25" s="241">
        <v>100</v>
      </c>
      <c r="Q25" s="241">
        <v>18</v>
      </c>
      <c r="R25" s="241">
        <v>1</v>
      </c>
      <c r="S25" s="241">
        <v>2</v>
      </c>
      <c r="T25" s="238">
        <v>160</v>
      </c>
      <c r="U25" s="238">
        <v>10</v>
      </c>
      <c r="V25" s="238">
        <v>0.19952623149688795</v>
      </c>
      <c r="W25" s="238"/>
    </row>
    <row r="26" spans="1:25" ht="40.5" customHeight="1">
      <c r="A26" s="2"/>
      <c r="B26" s="251" t="s">
        <v>235</v>
      </c>
      <c r="C26" s="251"/>
      <c r="D26" s="240" t="s">
        <v>254</v>
      </c>
      <c r="E26" s="238">
        <v>65</v>
      </c>
      <c r="F26" s="238">
        <v>8</v>
      </c>
      <c r="G26" s="238">
        <v>80</v>
      </c>
      <c r="H26" s="238">
        <v>40</v>
      </c>
      <c r="I26" s="238">
        <v>20</v>
      </c>
      <c r="J26" s="238">
        <v>10</v>
      </c>
      <c r="L26" s="238"/>
      <c r="M26" s="238" t="s">
        <v>53</v>
      </c>
      <c r="N26" s="241">
        <v>45.5</v>
      </c>
      <c r="O26" s="241">
        <v>1.5</v>
      </c>
      <c r="P26" s="241">
        <v>100</v>
      </c>
      <c r="Q26" s="241">
        <v>23</v>
      </c>
      <c r="R26" s="241">
        <v>1</v>
      </c>
      <c r="S26" s="241">
        <v>2</v>
      </c>
      <c r="T26" s="238">
        <v>320</v>
      </c>
      <c r="U26" s="238">
        <v>10</v>
      </c>
      <c r="V26" s="238">
        <v>0.19952623149688795</v>
      </c>
      <c r="W26" s="238"/>
    </row>
    <row r="27" spans="1:25" ht="18.399999999999999" customHeight="1">
      <c r="A27" s="2"/>
      <c r="B27" s="254" t="s">
        <v>218</v>
      </c>
      <c r="C27" s="251"/>
      <c r="D27" s="240" t="s">
        <v>219</v>
      </c>
      <c r="E27" s="238">
        <v>16</v>
      </c>
      <c r="F27" s="238">
        <v>16</v>
      </c>
      <c r="G27" s="238">
        <v>9</v>
      </c>
      <c r="H27" s="238">
        <v>4.5</v>
      </c>
      <c r="I27" s="238">
        <v>2.2999999999999998</v>
      </c>
      <c r="J27" s="241">
        <v>1.2</v>
      </c>
      <c r="M27" s="238" t="s">
        <v>53</v>
      </c>
      <c r="N27" s="241">
        <v>32</v>
      </c>
      <c r="O27" s="241">
        <v>1.5</v>
      </c>
      <c r="P27" s="241">
        <v>100</v>
      </c>
      <c r="Q27" s="241">
        <v>16</v>
      </c>
      <c r="R27" s="241">
        <v>1</v>
      </c>
      <c r="S27" s="241">
        <v>2</v>
      </c>
      <c r="T27" s="238">
        <v>64</v>
      </c>
      <c r="U27" s="238">
        <v>10</v>
      </c>
      <c r="V27" s="238">
        <v>0.19952623149688795</v>
      </c>
      <c r="W27" s="238"/>
    </row>
    <row r="28" spans="1:25" ht="18.399999999999999" customHeight="1">
      <c r="A28" s="2"/>
      <c r="B28" s="254"/>
      <c r="C28" s="251"/>
      <c r="D28" s="240" t="s">
        <v>220</v>
      </c>
      <c r="E28" s="238">
        <v>25</v>
      </c>
      <c r="F28" s="238">
        <v>8</v>
      </c>
      <c r="G28" s="238">
        <v>25</v>
      </c>
      <c r="H28" s="238">
        <v>12</v>
      </c>
      <c r="I28" s="238">
        <v>6</v>
      </c>
      <c r="J28" s="241">
        <v>3</v>
      </c>
      <c r="M28" s="238" t="s">
        <v>53</v>
      </c>
      <c r="N28" s="241">
        <v>29</v>
      </c>
      <c r="O28" s="241">
        <v>1.5</v>
      </c>
      <c r="P28" s="241">
        <v>100</v>
      </c>
      <c r="Q28" s="241">
        <v>14.5</v>
      </c>
      <c r="R28" s="241">
        <v>1</v>
      </c>
      <c r="S28" s="241">
        <v>2</v>
      </c>
      <c r="T28" s="238">
        <v>100</v>
      </c>
      <c r="U28" s="238">
        <v>10</v>
      </c>
      <c r="V28" s="238">
        <v>0.19952623149688795</v>
      </c>
      <c r="W28" s="238"/>
    </row>
    <row r="29" spans="1:25" ht="18.399999999999999" customHeight="1">
      <c r="A29" s="2"/>
      <c r="B29" s="254" t="s">
        <v>223</v>
      </c>
      <c r="C29" s="251"/>
      <c r="D29" s="240" t="s">
        <v>224</v>
      </c>
      <c r="E29" s="238">
        <v>50</v>
      </c>
      <c r="F29" s="238">
        <v>8</v>
      </c>
      <c r="G29" s="238">
        <v>50</v>
      </c>
      <c r="H29" s="238">
        <v>25</v>
      </c>
      <c r="I29" s="238">
        <v>12</v>
      </c>
      <c r="J29" s="238">
        <v>6</v>
      </c>
      <c r="K29" s="241">
        <v>3</v>
      </c>
      <c r="M29" s="238" t="s">
        <v>53</v>
      </c>
      <c r="N29" s="241">
        <v>40</v>
      </c>
      <c r="O29" s="241">
        <v>1.5</v>
      </c>
      <c r="P29" s="241">
        <v>100</v>
      </c>
      <c r="Q29" s="241">
        <v>20</v>
      </c>
      <c r="R29" s="241">
        <v>1</v>
      </c>
      <c r="S29" s="241">
        <v>2</v>
      </c>
      <c r="T29" s="238">
        <v>200</v>
      </c>
      <c r="U29" s="238">
        <v>10</v>
      </c>
      <c r="V29" s="238">
        <v>0.19952623149688795</v>
      </c>
      <c r="W29" s="238"/>
    </row>
    <row r="30" spans="1:25" ht="18.399999999999999" customHeight="1">
      <c r="A30" s="2"/>
      <c r="B30" s="254"/>
      <c r="C30" s="251"/>
      <c r="D30" s="240" t="s">
        <v>225</v>
      </c>
      <c r="E30" s="238">
        <v>100</v>
      </c>
      <c r="F30" s="238">
        <v>8</v>
      </c>
      <c r="G30" s="238">
        <v>80</v>
      </c>
      <c r="H30" s="238">
        <v>40</v>
      </c>
      <c r="I30" s="238">
        <v>20</v>
      </c>
      <c r="J30" s="238">
        <v>10</v>
      </c>
      <c r="K30" s="238">
        <v>5</v>
      </c>
      <c r="L30" s="241">
        <v>2.5</v>
      </c>
      <c r="M30" s="238" t="s">
        <v>53</v>
      </c>
      <c r="N30" s="241">
        <v>56</v>
      </c>
      <c r="O30" s="241">
        <v>1.5</v>
      </c>
      <c r="P30" s="241">
        <v>100</v>
      </c>
      <c r="Q30" s="241">
        <v>28.5</v>
      </c>
      <c r="R30" s="241">
        <v>1</v>
      </c>
      <c r="S30" s="241">
        <v>2</v>
      </c>
      <c r="T30" s="238">
        <v>400</v>
      </c>
      <c r="U30" s="238">
        <v>10</v>
      </c>
      <c r="V30" s="238">
        <v>0.19952623149688795</v>
      </c>
      <c r="W30" s="238"/>
    </row>
    <row r="31" spans="1:25" ht="18.399999999999999" customHeight="1">
      <c r="A31" s="2"/>
      <c r="B31" s="254"/>
      <c r="C31" s="251"/>
      <c r="D31" s="240" t="s">
        <v>226</v>
      </c>
      <c r="E31" s="238">
        <v>125</v>
      </c>
      <c r="F31" s="238">
        <v>8</v>
      </c>
      <c r="G31" s="238">
        <v>80</v>
      </c>
      <c r="H31" s="238">
        <v>40</v>
      </c>
      <c r="I31" s="238">
        <v>20</v>
      </c>
      <c r="J31" s="238">
        <v>10</v>
      </c>
      <c r="K31" s="238">
        <v>5</v>
      </c>
      <c r="L31" s="241">
        <v>2.5</v>
      </c>
      <c r="M31" s="238" t="s">
        <v>53</v>
      </c>
      <c r="N31" s="241">
        <v>63</v>
      </c>
      <c r="O31" s="241">
        <v>1.5</v>
      </c>
      <c r="P31" s="241">
        <v>100</v>
      </c>
      <c r="Q31" s="241">
        <v>32.5</v>
      </c>
      <c r="R31" s="241">
        <v>1</v>
      </c>
      <c r="S31" s="241">
        <v>2</v>
      </c>
      <c r="T31" s="238">
        <v>500</v>
      </c>
      <c r="U31" s="238">
        <v>10</v>
      </c>
      <c r="V31" s="238">
        <v>0.199526231496888</v>
      </c>
      <c r="W31" s="238"/>
    </row>
    <row r="32" spans="1:25" ht="18.399999999999999" customHeight="1">
      <c r="A32" s="2"/>
      <c r="B32" s="254"/>
      <c r="C32" s="251"/>
      <c r="D32" s="240" t="s">
        <v>303</v>
      </c>
      <c r="E32" s="238">
        <v>140</v>
      </c>
      <c r="F32" s="238">
        <v>8</v>
      </c>
      <c r="G32" s="238">
        <v>100</v>
      </c>
      <c r="H32" s="238">
        <v>50</v>
      </c>
      <c r="I32" s="238">
        <v>25</v>
      </c>
      <c r="J32" s="238">
        <v>12</v>
      </c>
      <c r="K32" s="238"/>
      <c r="L32" s="241"/>
      <c r="M32" s="238" t="s">
        <v>53</v>
      </c>
      <c r="N32" s="241">
        <v>56.5</v>
      </c>
      <c r="O32" s="241">
        <v>1.5</v>
      </c>
      <c r="P32" s="241">
        <v>100</v>
      </c>
      <c r="Q32" s="241">
        <v>28.5</v>
      </c>
      <c r="R32" s="241">
        <v>1</v>
      </c>
      <c r="S32" s="241">
        <v>2</v>
      </c>
      <c r="T32" s="238">
        <v>400</v>
      </c>
      <c r="U32" s="238">
        <v>10</v>
      </c>
      <c r="V32" s="238">
        <v>0.199526231496888</v>
      </c>
      <c r="W32" s="238"/>
    </row>
    <row r="33" spans="1:28" ht="18.399999999999999" customHeight="1">
      <c r="A33" s="2"/>
      <c r="B33" s="254"/>
      <c r="C33" s="251"/>
      <c r="D33" s="240" t="s">
        <v>318</v>
      </c>
      <c r="E33" s="238">
        <v>200</v>
      </c>
      <c r="F33" s="238">
        <v>8</v>
      </c>
      <c r="H33" s="238"/>
      <c r="I33" s="238"/>
      <c r="J33" s="238"/>
      <c r="K33" s="238"/>
      <c r="L33" s="241"/>
      <c r="M33" s="238" t="s">
        <v>53</v>
      </c>
      <c r="N33" s="241">
        <v>60</v>
      </c>
      <c r="O33" s="241">
        <v>1.5</v>
      </c>
      <c r="P33" s="241">
        <v>100</v>
      </c>
      <c r="Q33" s="241">
        <v>40</v>
      </c>
      <c r="R33" s="241">
        <v>1</v>
      </c>
      <c r="S33" s="241">
        <v>2</v>
      </c>
      <c r="T33" s="238">
        <v>800</v>
      </c>
      <c r="U33" s="238">
        <v>10</v>
      </c>
      <c r="V33" s="238">
        <v>0.199526231496888</v>
      </c>
      <c r="W33" s="238"/>
    </row>
    <row r="34" spans="1:28" ht="18.399999999999999" customHeight="1">
      <c r="A34" s="2"/>
      <c r="B34" s="254" t="s">
        <v>227</v>
      </c>
      <c r="C34" s="251"/>
      <c r="D34" s="240" t="s">
        <v>228</v>
      </c>
      <c r="E34" s="238">
        <v>150</v>
      </c>
      <c r="F34" s="238">
        <v>8</v>
      </c>
      <c r="G34" s="238">
        <v>150</v>
      </c>
      <c r="H34" s="238">
        <v>80</v>
      </c>
      <c r="I34" s="238">
        <v>40</v>
      </c>
      <c r="J34" s="241">
        <v>20</v>
      </c>
      <c r="M34" s="238" t="s">
        <v>48</v>
      </c>
      <c r="N34" s="241">
        <v>69</v>
      </c>
      <c r="O34" s="241">
        <v>1.5</v>
      </c>
      <c r="P34" s="241">
        <v>100</v>
      </c>
      <c r="Q34" s="241">
        <v>34.5</v>
      </c>
      <c r="R34" s="241">
        <v>1</v>
      </c>
      <c r="S34" s="241">
        <v>2</v>
      </c>
      <c r="T34" s="238">
        <v>600</v>
      </c>
      <c r="U34" s="238">
        <v>10</v>
      </c>
      <c r="V34" s="238">
        <v>0.19952623149688795</v>
      </c>
      <c r="W34" s="238"/>
    </row>
    <row r="35" spans="1:28" ht="18.399999999999999" customHeight="1">
      <c r="A35" s="2"/>
      <c r="B35" s="254"/>
      <c r="C35" s="251"/>
      <c r="D35" s="240" t="s">
        <v>229</v>
      </c>
      <c r="E35" s="238">
        <v>250</v>
      </c>
      <c r="F35" s="238">
        <v>8</v>
      </c>
      <c r="G35" s="238">
        <v>150</v>
      </c>
      <c r="H35" s="238">
        <v>80</v>
      </c>
      <c r="I35" s="238">
        <v>40</v>
      </c>
      <c r="J35" s="241">
        <v>20</v>
      </c>
      <c r="M35" s="238" t="s">
        <v>48</v>
      </c>
      <c r="N35" s="241">
        <v>88</v>
      </c>
      <c r="O35" s="241">
        <v>1.5</v>
      </c>
      <c r="P35" s="241">
        <v>100</v>
      </c>
      <c r="Q35" s="241">
        <v>45</v>
      </c>
      <c r="R35" s="241">
        <v>1</v>
      </c>
      <c r="S35" s="241">
        <v>2</v>
      </c>
      <c r="T35" s="238">
        <v>1000</v>
      </c>
      <c r="U35" s="238">
        <v>10</v>
      </c>
      <c r="V35" s="238">
        <v>0.19952623149688795</v>
      </c>
      <c r="W35" s="238" t="s">
        <v>22</v>
      </c>
    </row>
    <row r="36" spans="1:28" ht="18.399999999999999" customHeight="1">
      <c r="A36" s="2"/>
      <c r="B36" s="254"/>
      <c r="C36" s="251"/>
      <c r="D36" s="240" t="s">
        <v>230</v>
      </c>
      <c r="E36" s="238">
        <v>250</v>
      </c>
      <c r="F36" s="238">
        <v>8</v>
      </c>
      <c r="G36" s="238">
        <v>150</v>
      </c>
      <c r="H36" s="238">
        <v>80</v>
      </c>
      <c r="I36" s="238">
        <v>40</v>
      </c>
      <c r="J36" s="241">
        <v>20</v>
      </c>
      <c r="M36" s="238" t="s">
        <v>48</v>
      </c>
      <c r="N36" s="241">
        <v>69</v>
      </c>
      <c r="O36" s="241">
        <v>1.5</v>
      </c>
      <c r="P36" s="241">
        <v>100</v>
      </c>
      <c r="Q36" s="241">
        <v>34.5</v>
      </c>
      <c r="R36" s="241">
        <v>1</v>
      </c>
      <c r="S36" s="241">
        <v>2</v>
      </c>
      <c r="T36" s="238">
        <v>1000</v>
      </c>
      <c r="U36" s="238">
        <v>10</v>
      </c>
      <c r="V36" s="238">
        <v>0.19952623149688795</v>
      </c>
      <c r="W36" s="238"/>
    </row>
    <row r="37" spans="1:28" ht="18.399999999999999" customHeight="1">
      <c r="A37" s="2"/>
      <c r="B37" s="254" t="s">
        <v>231</v>
      </c>
      <c r="C37" s="251"/>
      <c r="D37" s="240" t="s">
        <v>232</v>
      </c>
      <c r="E37" s="238">
        <v>125</v>
      </c>
      <c r="F37" s="238">
        <v>8</v>
      </c>
      <c r="G37" s="238">
        <v>80</v>
      </c>
      <c r="H37" s="238">
        <v>40</v>
      </c>
      <c r="I37" s="238">
        <v>20</v>
      </c>
      <c r="J37" s="238">
        <v>10</v>
      </c>
      <c r="K37" s="238">
        <v>5</v>
      </c>
      <c r="L37" s="241">
        <v>2.5</v>
      </c>
      <c r="M37" s="238" t="s">
        <v>53</v>
      </c>
      <c r="N37" s="241">
        <v>63</v>
      </c>
      <c r="O37" s="241">
        <v>1.5</v>
      </c>
      <c r="P37" s="241">
        <v>100</v>
      </c>
      <c r="Q37" s="241">
        <v>31.5</v>
      </c>
      <c r="R37" s="241">
        <v>1</v>
      </c>
      <c r="S37" s="241">
        <v>2</v>
      </c>
      <c r="T37" s="238">
        <v>500</v>
      </c>
      <c r="U37" s="238">
        <v>10</v>
      </c>
      <c r="V37" s="238">
        <v>0.19952623149688795</v>
      </c>
      <c r="W37" s="238"/>
    </row>
    <row r="38" spans="1:28" ht="18.399999999999999" customHeight="1">
      <c r="A38" s="2"/>
      <c r="B38" s="254"/>
      <c r="C38" s="251"/>
      <c r="D38" s="240" t="s">
        <v>313</v>
      </c>
      <c r="E38" s="238">
        <v>32</v>
      </c>
      <c r="F38" s="238">
        <v>8</v>
      </c>
      <c r="G38" s="238">
        <v>32</v>
      </c>
      <c r="H38" s="238">
        <v>16</v>
      </c>
      <c r="I38" s="238">
        <v>8</v>
      </c>
      <c r="J38" s="238">
        <v>4</v>
      </c>
      <c r="K38" s="238"/>
      <c r="L38" s="241"/>
      <c r="M38" s="238" t="s">
        <v>53</v>
      </c>
      <c r="N38" s="241">
        <v>32</v>
      </c>
      <c r="O38" s="241">
        <v>1</v>
      </c>
      <c r="P38" s="241">
        <v>200</v>
      </c>
      <c r="Q38" s="241">
        <v>16</v>
      </c>
      <c r="R38" s="241">
        <v>1</v>
      </c>
      <c r="S38" s="241">
        <v>2</v>
      </c>
      <c r="T38" s="238">
        <v>128</v>
      </c>
      <c r="U38" s="238">
        <v>10</v>
      </c>
      <c r="V38" s="238">
        <v>0.19952623149688795</v>
      </c>
      <c r="W38" s="238"/>
    </row>
    <row r="39" spans="1:28" ht="18.399999999999999" customHeight="1">
      <c r="A39" s="2"/>
      <c r="B39" s="254"/>
      <c r="C39" s="251"/>
      <c r="D39" s="240" t="s">
        <v>233</v>
      </c>
      <c r="E39" s="238">
        <v>125</v>
      </c>
      <c r="F39" s="238">
        <v>8</v>
      </c>
      <c r="G39" s="238">
        <v>80</v>
      </c>
      <c r="H39" s="238">
        <v>40</v>
      </c>
      <c r="I39" s="238">
        <v>20</v>
      </c>
      <c r="J39" s="238">
        <v>10</v>
      </c>
      <c r="K39" s="238">
        <v>5</v>
      </c>
      <c r="L39" s="241">
        <v>2.5</v>
      </c>
      <c r="M39" s="238" t="s">
        <v>53</v>
      </c>
      <c r="N39" s="241">
        <v>63</v>
      </c>
      <c r="O39" s="241">
        <v>1.5</v>
      </c>
      <c r="P39" s="241">
        <v>100</v>
      </c>
      <c r="Q39" s="241">
        <v>31.5</v>
      </c>
      <c r="R39" s="241">
        <v>1</v>
      </c>
      <c r="S39" s="241">
        <v>2</v>
      </c>
      <c r="T39" s="238">
        <v>500</v>
      </c>
      <c r="U39" s="238">
        <v>10</v>
      </c>
      <c r="V39" s="238">
        <v>0.19952623149688795</v>
      </c>
      <c r="W39" s="238"/>
      <c r="AA39" s="349"/>
      <c r="AB39" t="s">
        <v>298</v>
      </c>
    </row>
    <row r="40" spans="1:28" ht="18.399999999999999" customHeight="1">
      <c r="A40" s="2"/>
      <c r="B40" s="254"/>
      <c r="C40" s="251"/>
      <c r="D40" s="240" t="s">
        <v>314</v>
      </c>
      <c r="E40" s="238">
        <v>32</v>
      </c>
      <c r="F40" s="238">
        <v>8</v>
      </c>
      <c r="G40" s="238">
        <v>32</v>
      </c>
      <c r="H40" s="238">
        <v>16</v>
      </c>
      <c r="I40" s="238">
        <v>8</v>
      </c>
      <c r="J40" s="238">
        <v>4</v>
      </c>
      <c r="K40" s="238"/>
      <c r="L40" s="241"/>
      <c r="M40" s="238" t="s">
        <v>53</v>
      </c>
      <c r="N40" s="241">
        <v>32</v>
      </c>
      <c r="O40" s="241">
        <v>1</v>
      </c>
      <c r="P40" s="241">
        <v>200</v>
      </c>
      <c r="Q40" s="241">
        <v>16</v>
      </c>
      <c r="R40" s="241">
        <v>1</v>
      </c>
      <c r="S40" s="241">
        <v>2</v>
      </c>
      <c r="T40" s="238">
        <v>128</v>
      </c>
      <c r="U40" s="238">
        <v>10</v>
      </c>
      <c r="V40" s="238">
        <v>0.19952623149688795</v>
      </c>
      <c r="W40" s="238"/>
      <c r="AA40" s="349"/>
    </row>
    <row r="41" spans="1:28" ht="18.399999999999999" customHeight="1">
      <c r="A41" s="2"/>
      <c r="B41" s="254" t="s">
        <v>236</v>
      </c>
      <c r="C41" s="251"/>
      <c r="D41" s="240" t="s">
        <v>237</v>
      </c>
      <c r="E41" s="238">
        <v>300</v>
      </c>
      <c r="F41" s="238">
        <v>8</v>
      </c>
      <c r="G41" s="238">
        <v>150</v>
      </c>
      <c r="H41" s="238">
        <v>75</v>
      </c>
      <c r="I41" s="238">
        <v>38</v>
      </c>
      <c r="J41" s="238">
        <v>19</v>
      </c>
      <c r="M41" s="238" t="s">
        <v>53</v>
      </c>
      <c r="N41" s="241">
        <v>98</v>
      </c>
      <c r="O41" s="241">
        <v>1.5</v>
      </c>
      <c r="P41" s="241">
        <v>100</v>
      </c>
      <c r="Q41" s="241">
        <v>49</v>
      </c>
      <c r="R41" s="241">
        <v>1</v>
      </c>
      <c r="S41" s="241">
        <v>2</v>
      </c>
      <c r="T41" s="238">
        <v>1200</v>
      </c>
      <c r="U41" s="238">
        <v>17.2</v>
      </c>
      <c r="V41" s="238">
        <v>3.801893963205611E-2</v>
      </c>
      <c r="W41" s="347" t="s">
        <v>18</v>
      </c>
      <c r="X41" s="347" t="s">
        <v>18</v>
      </c>
    </row>
    <row r="42" spans="1:28" ht="18.399999999999999" customHeight="1">
      <c r="A42" s="2"/>
      <c r="B42" s="254"/>
      <c r="C42" s="251"/>
      <c r="D42" s="240" t="s">
        <v>238</v>
      </c>
      <c r="E42" s="238">
        <v>150</v>
      </c>
      <c r="F42" s="238">
        <v>8</v>
      </c>
      <c r="G42" s="238">
        <v>100</v>
      </c>
      <c r="H42" s="238">
        <v>50</v>
      </c>
      <c r="I42" s="238">
        <v>25</v>
      </c>
      <c r="J42" s="238"/>
      <c r="M42" s="238" t="s">
        <v>53</v>
      </c>
      <c r="N42" s="241">
        <v>69</v>
      </c>
      <c r="O42" s="241">
        <v>1.5</v>
      </c>
      <c r="P42" s="241">
        <v>100</v>
      </c>
      <c r="Q42" s="241">
        <v>35</v>
      </c>
      <c r="R42" s="241">
        <v>1</v>
      </c>
      <c r="S42" s="241">
        <v>2</v>
      </c>
      <c r="T42" s="238">
        <v>600</v>
      </c>
      <c r="U42" s="238">
        <v>16.8</v>
      </c>
      <c r="V42" s="238">
        <v>4.168693834703352E-2</v>
      </c>
      <c r="W42" s="238"/>
      <c r="AA42" s="4"/>
      <c r="AB42" t="s">
        <v>299</v>
      </c>
    </row>
    <row r="43" spans="1:28" ht="18.399999999999999" customHeight="1">
      <c r="A43" s="2"/>
      <c r="B43" s="251" t="s">
        <v>250</v>
      </c>
      <c r="C43" s="251"/>
      <c r="D43" s="240" t="s">
        <v>251</v>
      </c>
      <c r="E43" s="238">
        <v>500</v>
      </c>
      <c r="F43" s="238">
        <v>8</v>
      </c>
      <c r="M43" s="238" t="s">
        <v>48</v>
      </c>
      <c r="N43" s="241">
        <v>126.5</v>
      </c>
      <c r="O43" s="241">
        <v>1.5</v>
      </c>
      <c r="P43" s="241">
        <v>100</v>
      </c>
      <c r="Q43" s="241">
        <v>63</v>
      </c>
      <c r="R43" s="241">
        <v>1</v>
      </c>
      <c r="S43" s="241">
        <v>2</v>
      </c>
      <c r="T43" s="238">
        <v>2000</v>
      </c>
      <c r="U43" s="238">
        <v>14</v>
      </c>
      <c r="V43" s="238">
        <v>7.9432823472428096E-2</v>
      </c>
      <c r="W43" s="347" t="s">
        <v>18</v>
      </c>
      <c r="X43" s="347" t="s">
        <v>18</v>
      </c>
    </row>
    <row r="44" spans="1:28" ht="24" customHeight="1">
      <c r="A44" s="2"/>
      <c r="B44" s="254" t="s">
        <v>246</v>
      </c>
      <c r="C44" s="251"/>
      <c r="D44" s="240" t="s">
        <v>247</v>
      </c>
      <c r="E44" s="238">
        <v>150</v>
      </c>
      <c r="F44" s="238">
        <v>8</v>
      </c>
      <c r="H44" s="238"/>
      <c r="I44" s="238"/>
      <c r="J44" s="238"/>
      <c r="K44" s="241"/>
      <c r="M44" s="238" t="s">
        <v>53</v>
      </c>
      <c r="N44" s="241">
        <v>71</v>
      </c>
      <c r="O44" s="241">
        <v>1.5</v>
      </c>
      <c r="P44" s="241">
        <v>100</v>
      </c>
      <c r="Q44" s="241">
        <v>34.5</v>
      </c>
      <c r="R44" s="241">
        <v>0.5</v>
      </c>
      <c r="S44" s="241">
        <v>0.5</v>
      </c>
      <c r="T44" s="238">
        <v>1200</v>
      </c>
      <c r="U44" s="238">
        <v>16.8</v>
      </c>
      <c r="V44" s="238">
        <v>4.168693834703352E-2</v>
      </c>
      <c r="W44" s="347" t="s">
        <v>22</v>
      </c>
    </row>
    <row r="45" spans="1:28" ht="24" customHeight="1">
      <c r="A45" s="2"/>
      <c r="B45" s="254"/>
      <c r="C45" s="251"/>
      <c r="D45" s="240" t="s">
        <v>248</v>
      </c>
      <c r="E45" s="238">
        <v>300</v>
      </c>
      <c r="F45" s="238">
        <v>8</v>
      </c>
      <c r="M45" s="238" t="s">
        <v>53</v>
      </c>
      <c r="N45" s="346">
        <v>142</v>
      </c>
      <c r="O45" s="241">
        <v>1.5</v>
      </c>
      <c r="P45" s="241">
        <v>100</v>
      </c>
      <c r="Q45" s="241">
        <v>49</v>
      </c>
      <c r="R45" s="241">
        <v>0.5</v>
      </c>
      <c r="S45" s="241">
        <v>0.5</v>
      </c>
      <c r="T45" s="238">
        <v>2800</v>
      </c>
      <c r="U45" s="238">
        <v>16.8</v>
      </c>
      <c r="V45" s="238">
        <v>4.168693834703352E-2</v>
      </c>
      <c r="W45" s="347" t="s">
        <v>18</v>
      </c>
      <c r="X45" s="347" t="s">
        <v>18</v>
      </c>
    </row>
    <row r="46" spans="1:28" ht="24" customHeight="1">
      <c r="A46" s="2"/>
      <c r="B46" s="254"/>
      <c r="C46" s="251"/>
      <c r="D46" s="240" t="s">
        <v>249</v>
      </c>
      <c r="E46" s="238">
        <v>45</v>
      </c>
      <c r="F46" s="238">
        <v>8</v>
      </c>
      <c r="M46" s="238" t="s">
        <v>52</v>
      </c>
      <c r="N46" s="346">
        <v>85</v>
      </c>
      <c r="O46" s="241">
        <v>1.5</v>
      </c>
      <c r="P46" s="241">
        <v>100</v>
      </c>
      <c r="Q46" s="241">
        <v>19</v>
      </c>
      <c r="R46" s="241">
        <v>0.5</v>
      </c>
      <c r="S46" s="241">
        <v>0.5</v>
      </c>
      <c r="T46" s="238">
        <v>720</v>
      </c>
      <c r="U46" s="238">
        <v>16.8</v>
      </c>
      <c r="V46" s="238">
        <v>4.168693834703352E-2</v>
      </c>
      <c r="W46" s="348" t="s">
        <v>22</v>
      </c>
      <c r="X46" s="347" t="s">
        <v>7</v>
      </c>
    </row>
    <row r="47" spans="1:28" ht="24" customHeight="1">
      <c r="A47" s="2"/>
      <c r="B47" s="254"/>
      <c r="C47" s="251"/>
      <c r="D47" s="240" t="s">
        <v>291</v>
      </c>
      <c r="E47" s="238">
        <v>300</v>
      </c>
      <c r="F47" s="238">
        <v>8</v>
      </c>
      <c r="M47" s="238" t="s">
        <v>49</v>
      </c>
      <c r="N47" s="346">
        <v>142</v>
      </c>
      <c r="O47" s="241">
        <v>1.5</v>
      </c>
      <c r="P47" s="241">
        <v>100</v>
      </c>
      <c r="Q47" s="241">
        <v>49</v>
      </c>
      <c r="R47" s="241">
        <v>0.5</v>
      </c>
      <c r="S47" s="241">
        <v>0.5</v>
      </c>
      <c r="T47" s="238">
        <v>2800</v>
      </c>
      <c r="U47" s="238">
        <v>16.8</v>
      </c>
      <c r="V47" s="238">
        <v>4.168693834703352E-2</v>
      </c>
      <c r="W47" s="347" t="s">
        <v>18</v>
      </c>
      <c r="X47" s="347" t="s">
        <v>18</v>
      </c>
    </row>
    <row r="48" spans="1:28" ht="28.8">
      <c r="A48" s="2"/>
      <c r="B48" s="251" t="s">
        <v>244</v>
      </c>
      <c r="C48" s="251"/>
      <c r="D48" s="240" t="s">
        <v>245</v>
      </c>
      <c r="E48" s="238">
        <v>500</v>
      </c>
      <c r="F48" s="238">
        <v>8</v>
      </c>
      <c r="M48" s="238" t="s">
        <v>48</v>
      </c>
      <c r="N48" s="346">
        <v>142</v>
      </c>
      <c r="O48" s="241">
        <v>1.5</v>
      </c>
      <c r="P48" s="241">
        <v>100</v>
      </c>
      <c r="Q48" s="241">
        <v>63</v>
      </c>
      <c r="R48" s="241">
        <v>0.5</v>
      </c>
      <c r="S48" s="241">
        <v>0.5</v>
      </c>
      <c r="T48" s="238">
        <v>2800</v>
      </c>
      <c r="U48" s="238">
        <v>14</v>
      </c>
      <c r="V48" s="238">
        <v>7.9432823472428096E-2</v>
      </c>
      <c r="W48" s="347" t="s">
        <v>18</v>
      </c>
      <c r="X48" s="347" t="s">
        <v>18</v>
      </c>
    </row>
    <row r="49" spans="1:24" ht="17.649999999999999" customHeight="1">
      <c r="A49" s="2"/>
      <c r="B49" s="254" t="s">
        <v>239</v>
      </c>
      <c r="C49" s="251"/>
      <c r="D49" s="240" t="s">
        <v>240</v>
      </c>
      <c r="E49" s="238">
        <v>100</v>
      </c>
      <c r="F49" s="238">
        <v>8</v>
      </c>
      <c r="G49" s="238">
        <v>80</v>
      </c>
      <c r="H49" s="238">
        <v>40</v>
      </c>
      <c r="I49" s="238">
        <v>20</v>
      </c>
      <c r="J49" s="238">
        <v>10</v>
      </c>
      <c r="K49" s="241">
        <v>5</v>
      </c>
      <c r="M49" s="238" t="s">
        <v>53</v>
      </c>
      <c r="N49" s="241">
        <v>56.5</v>
      </c>
      <c r="O49" s="241">
        <v>1.5</v>
      </c>
      <c r="P49" s="241">
        <v>100</v>
      </c>
      <c r="Q49" s="241">
        <v>28.5</v>
      </c>
      <c r="R49" s="241">
        <v>1</v>
      </c>
      <c r="S49" s="241">
        <v>2</v>
      </c>
      <c r="T49" s="238">
        <v>400</v>
      </c>
      <c r="U49" s="238">
        <v>16.8</v>
      </c>
      <c r="V49" s="238">
        <v>4.168693834703352E-2</v>
      </c>
      <c r="W49" s="238"/>
    </row>
    <row r="50" spans="1:24" ht="17.100000000000001" customHeight="1">
      <c r="A50" s="2"/>
      <c r="B50" s="254"/>
      <c r="C50" s="251"/>
      <c r="D50" s="240" t="s">
        <v>241</v>
      </c>
      <c r="E50" s="238">
        <v>200</v>
      </c>
      <c r="F50" s="238">
        <v>8</v>
      </c>
      <c r="G50" s="238">
        <v>80</v>
      </c>
      <c r="H50" s="238">
        <v>40</v>
      </c>
      <c r="I50" s="238">
        <v>20</v>
      </c>
      <c r="J50" s="238">
        <v>10</v>
      </c>
      <c r="K50" s="241">
        <v>5</v>
      </c>
      <c r="M50" s="238" t="s">
        <v>53</v>
      </c>
      <c r="N50" s="241">
        <v>80</v>
      </c>
      <c r="O50" s="241">
        <v>1.5</v>
      </c>
      <c r="P50" s="241">
        <v>100</v>
      </c>
      <c r="Q50" s="241">
        <v>40</v>
      </c>
      <c r="R50" s="241">
        <v>1</v>
      </c>
      <c r="S50" s="241">
        <v>2</v>
      </c>
      <c r="T50" s="238">
        <v>800</v>
      </c>
      <c r="U50" s="238">
        <v>16.8</v>
      </c>
      <c r="V50" s="238">
        <v>4.168693834703352E-2</v>
      </c>
      <c r="W50" s="348" t="s">
        <v>22</v>
      </c>
    </row>
    <row r="51" spans="1:24" ht="17.100000000000001" customHeight="1">
      <c r="A51" s="2"/>
      <c r="B51" s="254"/>
      <c r="C51" s="251"/>
      <c r="D51" s="240" t="s">
        <v>242</v>
      </c>
      <c r="E51" s="238">
        <v>250</v>
      </c>
      <c r="F51" s="238">
        <v>8</v>
      </c>
      <c r="G51" s="238">
        <v>80</v>
      </c>
      <c r="H51" s="238">
        <v>40</v>
      </c>
      <c r="I51" s="238">
        <v>20</v>
      </c>
      <c r="J51" s="238">
        <v>10</v>
      </c>
      <c r="K51" s="241">
        <v>5</v>
      </c>
      <c r="M51" s="238" t="s">
        <v>53</v>
      </c>
      <c r="N51" s="241">
        <v>89</v>
      </c>
      <c r="O51" s="241">
        <v>1.5</v>
      </c>
      <c r="P51" s="241">
        <v>100</v>
      </c>
      <c r="Q51" s="241">
        <v>44.5</v>
      </c>
      <c r="R51" s="241">
        <v>1</v>
      </c>
      <c r="S51" s="241">
        <v>2</v>
      </c>
      <c r="T51" s="238">
        <v>1000</v>
      </c>
      <c r="U51" s="238">
        <v>16.8</v>
      </c>
      <c r="V51" s="238">
        <v>4.168693834703352E-2</v>
      </c>
      <c r="W51" s="347" t="s">
        <v>22</v>
      </c>
    </row>
    <row r="52" spans="1:24" ht="17.100000000000001" customHeight="1">
      <c r="A52" s="2"/>
      <c r="B52" s="254"/>
      <c r="C52" s="251"/>
      <c r="D52" s="240" t="s">
        <v>243</v>
      </c>
      <c r="E52" s="238">
        <v>300</v>
      </c>
      <c r="F52" s="238">
        <v>8</v>
      </c>
      <c r="G52" s="238">
        <v>80</v>
      </c>
      <c r="H52" s="238">
        <v>40</v>
      </c>
      <c r="I52" s="238">
        <v>20</v>
      </c>
      <c r="J52" s="238">
        <v>10</v>
      </c>
      <c r="K52" s="241">
        <v>5</v>
      </c>
      <c r="M52" s="238" t="s">
        <v>53</v>
      </c>
      <c r="N52" s="241">
        <v>98</v>
      </c>
      <c r="O52" s="241">
        <v>1.5</v>
      </c>
      <c r="P52" s="241">
        <v>100</v>
      </c>
      <c r="Q52" s="241">
        <v>49</v>
      </c>
      <c r="R52" s="241">
        <v>1</v>
      </c>
      <c r="S52" s="241">
        <v>2</v>
      </c>
      <c r="T52" s="238">
        <v>1200</v>
      </c>
      <c r="U52" s="238">
        <v>16.8</v>
      </c>
      <c r="V52" s="238">
        <v>4.168693834703352E-2</v>
      </c>
      <c r="W52" s="347" t="s">
        <v>18</v>
      </c>
      <c r="X52" s="347" t="s">
        <v>18</v>
      </c>
    </row>
    <row r="53" spans="1:24" ht="17.100000000000001" customHeight="1">
      <c r="A53" s="2"/>
      <c r="B53" s="254" t="s">
        <v>304</v>
      </c>
      <c r="C53" s="251"/>
      <c r="D53" s="240" t="s">
        <v>308</v>
      </c>
      <c r="E53" s="238">
        <v>150</v>
      </c>
      <c r="F53" s="238">
        <v>8</v>
      </c>
      <c r="H53" s="238"/>
      <c r="I53" s="238"/>
      <c r="J53" s="238"/>
      <c r="K53" s="241"/>
      <c r="M53" s="238" t="s">
        <v>53</v>
      </c>
      <c r="N53" s="241">
        <v>71</v>
      </c>
      <c r="O53" s="241">
        <v>1.5</v>
      </c>
      <c r="P53" s="241">
        <v>100</v>
      </c>
      <c r="Q53" s="241">
        <v>34.5</v>
      </c>
      <c r="R53" s="241">
        <v>1</v>
      </c>
      <c r="S53" s="241">
        <v>2</v>
      </c>
      <c r="T53" s="238">
        <v>1200</v>
      </c>
      <c r="U53" s="238">
        <v>16.8</v>
      </c>
      <c r="V53" s="238">
        <v>4.168693834703352E-2</v>
      </c>
      <c r="W53" s="347" t="s">
        <v>22</v>
      </c>
      <c r="X53" s="347"/>
    </row>
    <row r="54" spans="1:24" ht="17.100000000000001" customHeight="1">
      <c r="A54" s="2"/>
      <c r="B54" s="254"/>
      <c r="C54" s="251"/>
      <c r="D54" s="240" t="s">
        <v>309</v>
      </c>
      <c r="E54" s="238">
        <v>20</v>
      </c>
      <c r="F54" s="238">
        <v>8</v>
      </c>
      <c r="H54" s="238"/>
      <c r="I54" s="238"/>
      <c r="J54" s="238"/>
      <c r="K54" s="241"/>
      <c r="M54" s="238" t="s">
        <v>52</v>
      </c>
      <c r="N54" s="241">
        <v>71</v>
      </c>
      <c r="O54" s="241">
        <v>1.5</v>
      </c>
      <c r="P54" s="241">
        <v>100</v>
      </c>
      <c r="Q54" s="241">
        <v>19</v>
      </c>
      <c r="R54" s="241">
        <v>1</v>
      </c>
      <c r="S54" s="241">
        <v>2</v>
      </c>
      <c r="T54" s="238">
        <v>320</v>
      </c>
      <c r="U54" s="238">
        <v>16.8</v>
      </c>
      <c r="V54" s="238">
        <v>4.168693834703352E-2</v>
      </c>
      <c r="W54" s="347"/>
      <c r="X54" s="347"/>
    </row>
    <row r="55" spans="1:24" ht="17.100000000000001" customHeight="1">
      <c r="A55" s="2"/>
      <c r="B55" s="254"/>
      <c r="C55" s="251"/>
      <c r="D55" s="240" t="s">
        <v>310</v>
      </c>
      <c r="E55" s="238">
        <v>150</v>
      </c>
      <c r="F55" s="238">
        <v>8</v>
      </c>
      <c r="H55" s="238"/>
      <c r="I55" s="238"/>
      <c r="J55" s="238"/>
      <c r="K55" s="241"/>
      <c r="M55" s="238" t="s">
        <v>49</v>
      </c>
      <c r="N55" s="241">
        <v>71</v>
      </c>
      <c r="O55" s="241">
        <v>1.5</v>
      </c>
      <c r="P55" s="241">
        <v>100</v>
      </c>
      <c r="Q55" s="241">
        <v>34.5</v>
      </c>
      <c r="R55" s="241">
        <v>1</v>
      </c>
      <c r="S55" s="241">
        <v>2</v>
      </c>
      <c r="T55" s="238">
        <v>1200</v>
      </c>
      <c r="U55" s="238">
        <v>16.8</v>
      </c>
      <c r="V55" s="238">
        <v>4.168693834703352E-2</v>
      </c>
      <c r="W55" s="347" t="s">
        <v>22</v>
      </c>
      <c r="X55" s="347"/>
    </row>
    <row r="56" spans="1:24" ht="17.100000000000001" customHeight="1">
      <c r="A56" s="2"/>
      <c r="B56" s="254"/>
      <c r="C56" s="251"/>
      <c r="D56" s="240" t="s">
        <v>305</v>
      </c>
      <c r="E56" s="238">
        <v>300</v>
      </c>
      <c r="F56" s="238">
        <v>8</v>
      </c>
      <c r="H56" s="238"/>
      <c r="I56" s="238"/>
      <c r="J56" s="238"/>
      <c r="K56" s="241"/>
      <c r="M56" s="238" t="s">
        <v>53</v>
      </c>
      <c r="N56" s="241">
        <v>71</v>
      </c>
      <c r="O56" s="241">
        <v>1.5</v>
      </c>
      <c r="P56" s="241">
        <v>100</v>
      </c>
      <c r="Q56" s="241">
        <v>49</v>
      </c>
      <c r="R56" s="241">
        <v>1</v>
      </c>
      <c r="S56" s="241">
        <v>2</v>
      </c>
      <c r="T56" s="238">
        <v>2400</v>
      </c>
      <c r="U56" s="238">
        <v>16.8</v>
      </c>
      <c r="V56" s="238">
        <v>4.168693834703352E-2</v>
      </c>
      <c r="W56" s="347" t="s">
        <v>18</v>
      </c>
      <c r="X56" s="347" t="s">
        <v>18</v>
      </c>
    </row>
    <row r="57" spans="1:24" ht="17.100000000000001" customHeight="1">
      <c r="A57" s="2"/>
      <c r="B57" s="254"/>
      <c r="C57" s="251"/>
      <c r="D57" s="240" t="s">
        <v>306</v>
      </c>
      <c r="E57" s="238">
        <v>45</v>
      </c>
      <c r="F57" s="238">
        <v>8</v>
      </c>
      <c r="H57" s="238"/>
      <c r="I57" s="238"/>
      <c r="J57" s="238"/>
      <c r="K57" s="241"/>
      <c r="M57" s="238" t="s">
        <v>52</v>
      </c>
      <c r="N57" s="241">
        <v>71</v>
      </c>
      <c r="O57" s="241">
        <v>1.5</v>
      </c>
      <c r="P57" s="241">
        <v>100</v>
      </c>
      <c r="Q57" s="241">
        <v>49</v>
      </c>
      <c r="R57" s="241">
        <v>1</v>
      </c>
      <c r="S57" s="241">
        <v>2</v>
      </c>
      <c r="T57" s="238">
        <v>720</v>
      </c>
      <c r="U57" s="238">
        <v>16.8</v>
      </c>
      <c r="V57" s="238">
        <v>4.168693834703352E-2</v>
      </c>
      <c r="W57" s="347" t="s">
        <v>22</v>
      </c>
      <c r="X57" s="347"/>
    </row>
    <row r="58" spans="1:24" ht="17.100000000000001" customHeight="1">
      <c r="A58" s="2"/>
      <c r="B58" s="254"/>
      <c r="C58" s="251"/>
      <c r="D58" s="240" t="s">
        <v>307</v>
      </c>
      <c r="E58" s="238">
        <v>300</v>
      </c>
      <c r="F58" s="238">
        <v>8</v>
      </c>
      <c r="H58" s="238"/>
      <c r="I58" s="238"/>
      <c r="J58" s="238"/>
      <c r="K58" s="241"/>
      <c r="M58" s="238" t="s">
        <v>49</v>
      </c>
      <c r="N58" s="241">
        <v>71</v>
      </c>
      <c r="O58" s="241">
        <v>1.5</v>
      </c>
      <c r="P58" s="241">
        <v>100</v>
      </c>
      <c r="Q58" s="241">
        <v>49</v>
      </c>
      <c r="R58" s="241">
        <v>1</v>
      </c>
      <c r="S58" s="241">
        <v>2</v>
      </c>
      <c r="T58" s="238">
        <v>2400</v>
      </c>
      <c r="U58" s="238">
        <v>16.8</v>
      </c>
      <c r="V58" s="238">
        <v>4.168693834703352E-2</v>
      </c>
      <c r="W58" s="347" t="s">
        <v>18</v>
      </c>
      <c r="X58" s="347" t="s">
        <v>18</v>
      </c>
    </row>
    <row r="59" spans="1:24" ht="17.100000000000001" customHeight="1">
      <c r="A59" s="2"/>
      <c r="B59" s="254" t="s">
        <v>311</v>
      </c>
      <c r="C59" s="251"/>
      <c r="D59" s="240" t="s">
        <v>312</v>
      </c>
      <c r="E59" s="238">
        <v>600</v>
      </c>
      <c r="F59" s="238">
        <v>8</v>
      </c>
      <c r="H59" s="238"/>
      <c r="I59" s="238"/>
      <c r="J59" s="238"/>
      <c r="K59" s="241"/>
      <c r="M59" s="238" t="s">
        <v>53</v>
      </c>
      <c r="N59" s="241"/>
      <c r="O59" s="241"/>
      <c r="P59" s="241"/>
      <c r="Q59" s="241"/>
      <c r="R59" s="241"/>
      <c r="S59" s="241"/>
      <c r="T59" s="238">
        <v>2400</v>
      </c>
      <c r="U59" s="238">
        <v>16.8</v>
      </c>
      <c r="V59" s="238">
        <v>4.168693834703352E-2</v>
      </c>
      <c r="W59" s="347" t="s">
        <v>18</v>
      </c>
      <c r="X59" s="347" t="s">
        <v>18</v>
      </c>
    </row>
    <row r="60" spans="1:24" ht="25.35" customHeight="1">
      <c r="A60" s="2"/>
      <c r="B60" s="254" t="s">
        <v>252</v>
      </c>
      <c r="C60" s="251"/>
      <c r="D60" s="240" t="s">
        <v>38</v>
      </c>
      <c r="E60" s="238">
        <v>750</v>
      </c>
      <c r="F60" s="238">
        <v>4</v>
      </c>
      <c r="M60" s="238" t="s">
        <v>48</v>
      </c>
      <c r="N60" s="241">
        <v>109</v>
      </c>
      <c r="O60" s="241">
        <v>1.5</v>
      </c>
      <c r="P60" s="241">
        <v>100</v>
      </c>
      <c r="Q60" s="241">
        <v>55</v>
      </c>
      <c r="R60" s="241">
        <v>1</v>
      </c>
      <c r="S60" s="241">
        <v>2</v>
      </c>
      <c r="T60" s="238">
        <v>3000</v>
      </c>
      <c r="U60" s="238">
        <v>14</v>
      </c>
      <c r="V60" s="238">
        <v>7.9432823472428096E-2</v>
      </c>
      <c r="W60" s="347" t="s">
        <v>18</v>
      </c>
      <c r="X60" s="347" t="s">
        <v>18</v>
      </c>
    </row>
    <row r="61" spans="1:24" ht="25.35" customHeight="1">
      <c r="A61" s="2"/>
      <c r="B61" s="254"/>
      <c r="C61" s="251"/>
      <c r="D61" s="240" t="s">
        <v>39</v>
      </c>
      <c r="E61" s="238">
        <v>450</v>
      </c>
      <c r="F61" s="238">
        <v>8</v>
      </c>
      <c r="M61" s="238" t="s">
        <v>49</v>
      </c>
      <c r="N61" s="241">
        <v>120</v>
      </c>
      <c r="O61" s="241">
        <v>1.5</v>
      </c>
      <c r="P61" s="241">
        <v>100</v>
      </c>
      <c r="Q61" s="241">
        <v>60</v>
      </c>
      <c r="R61" s="241">
        <v>1</v>
      </c>
      <c r="S61" s="241">
        <v>2</v>
      </c>
      <c r="T61" s="238">
        <v>1800</v>
      </c>
      <c r="U61" s="238">
        <v>15.4</v>
      </c>
      <c r="V61" s="238">
        <v>5.7543993733715687E-2</v>
      </c>
      <c r="W61" s="238" t="s">
        <v>18</v>
      </c>
      <c r="X61" s="238" t="s">
        <v>18</v>
      </c>
    </row>
    <row r="62" spans="1:24" ht="25.35" customHeight="1">
      <c r="A62" s="2"/>
      <c r="B62" s="254"/>
      <c r="C62" s="251"/>
      <c r="D62" s="240" t="s">
        <v>40</v>
      </c>
      <c r="E62" s="238">
        <v>100</v>
      </c>
      <c r="F62" s="238">
        <v>6</v>
      </c>
      <c r="M62" s="238" t="s">
        <v>52</v>
      </c>
      <c r="N62" s="241">
        <v>49</v>
      </c>
      <c r="O62" s="241">
        <v>1.5</v>
      </c>
      <c r="P62" s="241">
        <v>100</v>
      </c>
      <c r="Q62" s="241">
        <v>24.5</v>
      </c>
      <c r="R62" s="241">
        <v>1</v>
      </c>
      <c r="S62" s="241">
        <v>2</v>
      </c>
      <c r="T62" s="238">
        <v>400</v>
      </c>
      <c r="U62" s="238">
        <v>19.8</v>
      </c>
      <c r="V62" s="238">
        <v>2.0892961308540375E-2</v>
      </c>
      <c r="W62" s="238"/>
    </row>
    <row r="63" spans="1:24" ht="25.35" customHeight="1">
      <c r="A63" s="2"/>
      <c r="B63" s="254"/>
      <c r="C63" s="251"/>
      <c r="D63" s="240" t="s">
        <v>294</v>
      </c>
      <c r="E63" s="238">
        <v>450</v>
      </c>
      <c r="F63" s="238">
        <v>8</v>
      </c>
      <c r="M63" s="238" t="s">
        <v>49</v>
      </c>
      <c r="N63" s="241">
        <v>120</v>
      </c>
      <c r="O63" s="241">
        <v>1.5</v>
      </c>
      <c r="P63" s="241">
        <v>100</v>
      </c>
      <c r="Q63" s="241">
        <v>60</v>
      </c>
      <c r="R63" s="241">
        <v>1</v>
      </c>
      <c r="S63" s="241">
        <v>2</v>
      </c>
      <c r="T63" s="238">
        <v>1800</v>
      </c>
      <c r="U63" s="238">
        <v>15.4</v>
      </c>
      <c r="V63" s="238">
        <v>5.7543993733715687E-2</v>
      </c>
      <c r="W63" s="347" t="s">
        <v>18</v>
      </c>
      <c r="X63" s="347" t="s">
        <v>18</v>
      </c>
    </row>
    <row r="64" spans="1:24" ht="25.35" customHeight="1">
      <c r="A64" s="2"/>
      <c r="B64" s="254"/>
      <c r="C64" s="251"/>
      <c r="D64" s="240" t="s">
        <v>295</v>
      </c>
      <c r="E64" s="238">
        <v>100</v>
      </c>
      <c r="F64" s="238">
        <v>6</v>
      </c>
      <c r="M64" s="238" t="s">
        <v>52</v>
      </c>
      <c r="N64" s="241">
        <v>49</v>
      </c>
      <c r="O64" s="241">
        <v>1.5</v>
      </c>
      <c r="P64" s="241">
        <v>100</v>
      </c>
      <c r="Q64" s="241">
        <v>24.5</v>
      </c>
      <c r="R64" s="241">
        <v>1</v>
      </c>
      <c r="S64" s="241">
        <v>2</v>
      </c>
      <c r="T64" s="238">
        <v>400</v>
      </c>
      <c r="U64" s="238">
        <v>19.8</v>
      </c>
      <c r="V64" s="238">
        <v>2.0892961308540375E-2</v>
      </c>
      <c r="W64" s="347"/>
    </row>
    <row r="65" spans="1:24" ht="25.35" customHeight="1">
      <c r="A65" s="2"/>
      <c r="B65" s="254"/>
      <c r="C65" s="251"/>
      <c r="D65" s="240" t="s">
        <v>296</v>
      </c>
      <c r="E65" s="238">
        <v>450</v>
      </c>
      <c r="F65" s="238">
        <v>8</v>
      </c>
      <c r="M65" s="238" t="s">
        <v>49</v>
      </c>
      <c r="N65" s="241">
        <v>120</v>
      </c>
      <c r="O65" s="241">
        <v>1.5</v>
      </c>
      <c r="P65" s="241">
        <v>100</v>
      </c>
      <c r="Q65" s="241">
        <v>60</v>
      </c>
      <c r="R65" s="241">
        <v>1</v>
      </c>
      <c r="S65" s="241">
        <v>2</v>
      </c>
      <c r="T65" s="238">
        <v>1800</v>
      </c>
      <c r="U65" s="238">
        <v>15.4</v>
      </c>
      <c r="V65" s="238">
        <v>5.7543993733715687E-2</v>
      </c>
      <c r="W65" s="347" t="s">
        <v>18</v>
      </c>
      <c r="X65" s="347" t="s">
        <v>18</v>
      </c>
    </row>
    <row r="66" spans="1:24" ht="50.1" customHeight="1">
      <c r="A66" s="2"/>
      <c r="B66" s="251" t="s">
        <v>253</v>
      </c>
      <c r="C66" s="251"/>
      <c r="D66" s="240" t="s">
        <v>268</v>
      </c>
      <c r="E66" s="238">
        <v>600</v>
      </c>
      <c r="F66" s="238">
        <v>8</v>
      </c>
      <c r="G66" s="238">
        <v>400</v>
      </c>
      <c r="H66" s="238">
        <v>200</v>
      </c>
      <c r="I66" s="238">
        <v>100</v>
      </c>
      <c r="M66" s="238" t="s">
        <v>53</v>
      </c>
      <c r="N66" s="241">
        <v>122</v>
      </c>
      <c r="O66" s="241">
        <v>1.5</v>
      </c>
      <c r="P66" s="241">
        <v>100</v>
      </c>
      <c r="Q66" s="241">
        <v>77.5</v>
      </c>
      <c r="R66" s="241">
        <v>1</v>
      </c>
      <c r="S66" s="241">
        <v>2</v>
      </c>
      <c r="T66" s="238">
        <v>3000</v>
      </c>
      <c r="U66" s="238">
        <v>16.8</v>
      </c>
      <c r="V66" s="238">
        <v>4.168693834703352E-2</v>
      </c>
      <c r="W66" s="347" t="s">
        <v>18</v>
      </c>
      <c r="X66" s="347" t="s">
        <v>18</v>
      </c>
    </row>
    <row r="67" spans="1:24" ht="50.1" customHeight="1">
      <c r="A67" s="2"/>
      <c r="B67" s="251" t="s">
        <v>253</v>
      </c>
      <c r="C67" s="251"/>
      <c r="D67" s="240" t="s">
        <v>269</v>
      </c>
      <c r="E67" s="238">
        <v>150</v>
      </c>
      <c r="F67" s="238">
        <v>8</v>
      </c>
      <c r="G67" s="238">
        <v>400</v>
      </c>
      <c r="H67" s="238">
        <v>200</v>
      </c>
      <c r="I67" s="238">
        <v>100</v>
      </c>
      <c r="M67" s="238" t="s">
        <v>53</v>
      </c>
      <c r="N67" s="241">
        <v>122</v>
      </c>
      <c r="O67" s="241">
        <v>1.5</v>
      </c>
      <c r="P67" s="241">
        <v>100</v>
      </c>
      <c r="Q67" s="241">
        <v>77.5</v>
      </c>
      <c r="R67" s="241">
        <v>1</v>
      </c>
      <c r="S67" s="241">
        <v>2</v>
      </c>
      <c r="T67" s="238">
        <v>3000</v>
      </c>
      <c r="U67" s="238">
        <v>16.8</v>
      </c>
      <c r="V67" s="238">
        <v>4.168693834703352E-2</v>
      </c>
      <c r="W67" s="347" t="s">
        <v>18</v>
      </c>
    </row>
    <row r="68" spans="1:24" ht="50.1" customHeight="1">
      <c r="A68" s="2"/>
      <c r="B68" s="251" t="s">
        <v>253</v>
      </c>
      <c r="C68" s="251"/>
      <c r="D68" s="240" t="s">
        <v>270</v>
      </c>
      <c r="E68" s="238">
        <v>750</v>
      </c>
      <c r="F68" s="238">
        <v>8</v>
      </c>
      <c r="G68" s="238">
        <v>400</v>
      </c>
      <c r="H68" s="238">
        <v>200</v>
      </c>
      <c r="I68" s="238">
        <v>100</v>
      </c>
      <c r="M68" s="238" t="s">
        <v>53</v>
      </c>
      <c r="N68" s="241">
        <v>122</v>
      </c>
      <c r="O68" s="241">
        <v>1.5</v>
      </c>
      <c r="P68" s="241">
        <v>100</v>
      </c>
      <c r="Q68" s="241">
        <v>77.5</v>
      </c>
      <c r="R68" s="241">
        <v>1</v>
      </c>
      <c r="S68" s="241">
        <v>2</v>
      </c>
      <c r="T68" s="238">
        <v>3000</v>
      </c>
      <c r="U68" s="238">
        <v>16.8</v>
      </c>
      <c r="V68" s="238">
        <v>4.168693834703352E-2</v>
      </c>
      <c r="W68" s="347" t="s">
        <v>18</v>
      </c>
      <c r="X68" s="347" t="s">
        <v>18</v>
      </c>
    </row>
    <row r="69" spans="1:24">
      <c r="B69" s="251" t="s">
        <v>253</v>
      </c>
      <c r="D69" s="240" t="s">
        <v>297</v>
      </c>
      <c r="E69" s="238">
        <v>600</v>
      </c>
      <c r="F69" s="238">
        <v>8</v>
      </c>
      <c r="G69" s="238">
        <v>400</v>
      </c>
      <c r="H69" s="238">
        <v>200</v>
      </c>
      <c r="I69" s="238">
        <v>100</v>
      </c>
      <c r="M69" s="238" t="s">
        <v>53</v>
      </c>
      <c r="N69" s="241">
        <v>122</v>
      </c>
      <c r="O69" s="241">
        <v>1.5</v>
      </c>
      <c r="P69" s="241">
        <v>100</v>
      </c>
      <c r="Q69" s="241">
        <v>77.5</v>
      </c>
      <c r="R69" s="241">
        <v>1</v>
      </c>
      <c r="S69" s="241">
        <v>2</v>
      </c>
      <c r="T69" s="238">
        <v>3000</v>
      </c>
      <c r="U69" s="238">
        <v>16.8</v>
      </c>
      <c r="V69" s="238">
        <v>4.168693834703352E-2</v>
      </c>
      <c r="W69" s="347" t="s">
        <v>18</v>
      </c>
      <c r="X69" s="347" t="s">
        <v>18</v>
      </c>
    </row>
    <row r="70" spans="1:24">
      <c r="B70" s="251" t="s">
        <v>319</v>
      </c>
      <c r="D70" s="240" t="s">
        <v>320</v>
      </c>
      <c r="E70" s="238">
        <v>150</v>
      </c>
      <c r="F70" s="238">
        <v>8</v>
      </c>
      <c r="M70" s="238" t="s">
        <v>53</v>
      </c>
      <c r="N70" s="241">
        <v>62</v>
      </c>
      <c r="O70" s="241">
        <v>1.5</v>
      </c>
      <c r="P70" s="241">
        <v>100</v>
      </c>
      <c r="Q70" s="241">
        <v>31</v>
      </c>
      <c r="R70" s="241">
        <v>1</v>
      </c>
      <c r="S70" s="241">
        <v>2</v>
      </c>
      <c r="T70" s="238">
        <v>600</v>
      </c>
      <c r="U70" s="238">
        <v>16.8</v>
      </c>
      <c r="V70" s="238">
        <v>4.168693834703352E-2</v>
      </c>
    </row>
    <row r="71" spans="1:24">
      <c r="B71" s="251" t="s">
        <v>319</v>
      </c>
      <c r="D71" s="240" t="s">
        <v>321</v>
      </c>
      <c r="E71" s="238">
        <v>300</v>
      </c>
      <c r="F71" s="238">
        <v>8</v>
      </c>
      <c r="M71" s="238" t="s">
        <v>53</v>
      </c>
      <c r="N71" s="241">
        <v>71</v>
      </c>
      <c r="O71" s="241">
        <v>1.5</v>
      </c>
      <c r="P71" s="241">
        <v>100</v>
      </c>
      <c r="Q71" s="241">
        <v>44</v>
      </c>
      <c r="R71" s="241">
        <v>1</v>
      </c>
      <c r="T71" s="238">
        <v>1200</v>
      </c>
      <c r="U71" s="238">
        <v>16.8</v>
      </c>
      <c r="V71" s="238">
        <v>4.168693834703352E-2</v>
      </c>
      <c r="W71" s="347" t="s">
        <v>22</v>
      </c>
    </row>
  </sheetData>
  <mergeCells count="1">
    <mergeCell ref="K18:L18"/>
  </mergeCell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8f2decdf-0e91-4cd4-a5aa-74b39c47ef7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8C73D5CC3179449B8AAE63EEF592442" ma:contentTypeVersion="18" ma:contentTypeDescription="Create a new document." ma:contentTypeScope="" ma:versionID="dcef025a4edf7803b01b80cfaebfd086">
  <xsd:schema xmlns:xsd="http://www.w3.org/2001/XMLSchema" xmlns:xs="http://www.w3.org/2001/XMLSchema" xmlns:p="http://schemas.microsoft.com/office/2006/metadata/properties" xmlns:ns1="http://schemas.microsoft.com/sharepoint/v3" xmlns:ns3="8f2decdf-0e91-4cd4-a5aa-74b39c47ef7b" xmlns:ns4="e1f6a3de-be17-4241-856b-b30e3fb6f362" targetNamespace="http://schemas.microsoft.com/office/2006/metadata/properties" ma:root="true" ma:fieldsID="f00cfbdc8138de01511e70b2b1a0c36b" ns1:_="" ns3:_="" ns4:_="">
    <xsd:import namespace="http://schemas.microsoft.com/sharepoint/v3"/>
    <xsd:import namespace="8f2decdf-0e91-4cd4-a5aa-74b39c47ef7b"/>
    <xsd:import namespace="e1f6a3de-be17-4241-856b-b30e3fb6f362"/>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DateTaken" minOccurs="0"/>
                <xsd:element ref="ns3:MediaServiceAutoTags" minOccurs="0"/>
                <xsd:element ref="ns3:MediaLengthInSeconds" minOccurs="0"/>
                <xsd:element ref="ns4:SharedWithUsers" minOccurs="0"/>
                <xsd:element ref="ns4:SharedWithDetails" minOccurs="0"/>
                <xsd:element ref="ns4:SharingHintHash" minOccurs="0"/>
                <xsd:element ref="ns1:_ip_UnifiedCompliancePolicyProperties" minOccurs="0"/>
                <xsd:element ref="ns1:_ip_UnifiedCompliancePolicyUIAction" minOccurs="0"/>
                <xsd:element ref="ns3:MediaServiceOCR" minOccurs="0"/>
                <xsd:element ref="ns3:MediaServiceGenerationTime" minOccurs="0"/>
                <xsd:element ref="ns3:MediaServiceEventHashCode" minOccurs="0"/>
                <xsd:element ref="ns3:_activity" minOccurs="0"/>
                <xsd:element ref="ns3:MediaServiceSystemTag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2decdf-0e91-4cd4-a5aa-74b39c47ef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SystemTags" ma:index="23" nillable="true" ma:displayName="MediaServiceSystemTags" ma:hidden="true" ma:internalName="MediaServiceSystemTags"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f6a3de-be17-4241-856b-b30e3fb6f362"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EF716F-B746-47BA-A1C4-BF4197982C89}">
  <ds:schemaRefs>
    <ds:schemaRef ds:uri="http://schemas.microsoft.com/sharepoint/v3/contenttype/forms"/>
  </ds:schemaRefs>
</ds:datastoreItem>
</file>

<file path=customXml/itemProps2.xml><?xml version="1.0" encoding="utf-8"?>
<ds:datastoreItem xmlns:ds="http://schemas.openxmlformats.org/officeDocument/2006/customXml" ds:itemID="{A9C20BBD-F425-41F2-934C-7AA3D3627D9E}">
  <ds:schemaRefs>
    <ds:schemaRef ds:uri="http://purl.org/dc/dcmitype/"/>
    <ds:schemaRef ds:uri="http://schemas.microsoft.com/office/2006/metadata/properties"/>
    <ds:schemaRef ds:uri="http://schemas.microsoft.com/office/infopath/2007/PartnerControls"/>
    <ds:schemaRef ds:uri="http://schemas.openxmlformats.org/package/2006/metadata/core-properties"/>
    <ds:schemaRef ds:uri="http://schemas.microsoft.com/office/2006/documentManagement/types"/>
    <ds:schemaRef ds:uri="e1f6a3de-be17-4241-856b-b30e3fb6f362"/>
    <ds:schemaRef ds:uri="8f2decdf-0e91-4cd4-a5aa-74b39c47ef7b"/>
    <ds:schemaRef ds:uri="http://www.w3.org/XML/1998/namespace"/>
    <ds:schemaRef ds:uri="http://schemas.microsoft.com/sharepoint/v3"/>
    <ds:schemaRef ds:uri="http://purl.org/dc/terms/"/>
    <ds:schemaRef ds:uri="http://purl.org/dc/elements/1.1/"/>
  </ds:schemaRefs>
</ds:datastoreItem>
</file>

<file path=customXml/itemProps3.xml><?xml version="1.0" encoding="utf-8"?>
<ds:datastoreItem xmlns:ds="http://schemas.openxmlformats.org/officeDocument/2006/customXml" ds:itemID="{4CE086C3-25A2-4BA7-ABB0-95EB4D06FC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f2decdf-0e91-4cd4-a5aa-74b39c47ef7b"/>
    <ds:schemaRef ds:uri="e1f6a3de-be17-4241-856b-b30e3fb6f3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Disclaimer</vt:lpstr>
      <vt:lpstr>Tool</vt:lpstr>
      <vt:lpst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JD Hardesty</dc:creator>
  <cp:keywords/>
  <dc:description/>
  <cp:lastModifiedBy>JD Hardesty</cp:lastModifiedBy>
  <cp:revision/>
  <dcterms:created xsi:type="dcterms:W3CDTF">2023-03-20T18:59:59Z</dcterms:created>
  <dcterms:modified xsi:type="dcterms:W3CDTF">2026-03-06T21:42:30Z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0x01010048C73D5CC3179449B8AAE63EEF592442</vt:lpwstr>
  </property>
</Properties>
</file>